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<sst xmlns="http://schemas.openxmlformats.org/spreadsheetml/2006/main" count="168" uniqueCount="113">
  <si>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</si>
  <si>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</si>
  <si>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</si>
  <si>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</si>
  <si>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</si>
  <si>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</si>
  <si>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</si>
  <si>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</si>
  <si>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</si>
  <si>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</si>
  <si>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</si>
  <si>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</si>
  <si>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</si>
  <si>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</si>
  <si>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</si>
  <si>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</si>
  <si>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</si>
  <si>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</si>
  <si>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</si>
  <si>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</si>
  <si>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</si>
  <si>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</si>
  <si>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</si>
  <si>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</si>
  <si>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</si>
  <si>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</si>
  <si>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</si>
  <si>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</si>
  <si>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</si>
  <si>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</si>
  <si>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</si>
  <si>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</si>
  <si>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</si>
  <si>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</si>
  <si>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</si>
  <si>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</si>
  <si>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</si>
  <si>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</si>
  <si>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</si>
  <si>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</si>
  <si>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</si>
  <si>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</si>
  <si>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</si>
  <si>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</si>
  <si>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</si>
  <si>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</si>
  <si>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</si>
  <si>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</si>
  <si>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</si>
  <si>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</si>
  <si>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</si>
  <si>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</si>
  <si>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</si>
  <si>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</si>
  <si>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</si>
  <si>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</si>
  <si>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</si>
  <si>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</si>
  <si>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</si>
  <si>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</si>
  <si>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</si>
  <si>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</si>
  <si>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</si>
  <si>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</si>
  <si>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</si>
  <si>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</si>
  <si>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</si>
  <si>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</si>
  <si>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</si>
  <si>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</si>
  <si>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</si>
  <si>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</si>
  <si>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</si>
  <si>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</si>
  <si>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</si>
  <si>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</si>
  <si>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</si>
  <si>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</si>
  <si>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</si>
  <si>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</si>
  <si>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</si>
  <si>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</si>
  <si>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</si>
  <si>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</si>
  <si>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</si>
  <si>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</si>
  <si>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</si>
  <si>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</si>
  <si>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</si>
  <si>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</si>
  <si>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</si>
  <si>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</si>
  <si>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</si>
  <si>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</si>
  <si>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</si>
  <si>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</si>
  <si>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</si>
  <si>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</si>
  <si>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</si>
  <si>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</si>
  <si>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</si>
  <si>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</si>
  <si>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</si>
  <si>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</si>
  <si>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</si>
  <si>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</si>
  <si>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</si>
  <si>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</si>
  <si>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</si>
  <si>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7 місяців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</si>
  <si>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</si>
  <si>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</si>
  <si>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31.07.2019 року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</si>
</sst>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126379</c:v>
                </c:pt>
              </c:numCache>
            </c:numRef>
          </c:val>
          <c:shape val="box"/>
        </c:ser>
        <c:shape val="box"/>
        <c:axId val="44454987"/>
        <c:axId val="64550564"/>
      </c:bar3DChart>
      <c:catAx>
        <c:axId val="4445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50564"/>
        <c:crosses val="autoZero"/>
        <c:auto val="1"/>
        <c:lblOffset val="100"/>
        <c:tickLblSkip val="1"/>
        <c:noMultiLvlLbl val="0"/>
      </c:catAx>
      <c:valAx>
        <c:axId val="64550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54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541204.0999999999</c:v>
                </c:pt>
              </c:numCache>
            </c:numRef>
          </c:val>
          <c:shape val="box"/>
        </c:ser>
        <c:shape val="box"/>
        <c:axId val="44084165"/>
        <c:axId val="61213166"/>
      </c:bar3DChart>
      <c:catAx>
        <c:axId val="4408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13166"/>
        <c:crosses val="autoZero"/>
        <c:auto val="1"/>
        <c:lblOffset val="100"/>
        <c:tickLblSkip val="1"/>
        <c:noMultiLvlLbl val="0"/>
      </c:catAx>
      <c:valAx>
        <c:axId val="61213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84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234398.33699999988</c:v>
                </c:pt>
              </c:numCache>
            </c:numRef>
          </c:val>
          <c:shape val="box"/>
        </c:ser>
        <c:shape val="box"/>
        <c:axId val="14047583"/>
        <c:axId val="59319384"/>
      </c:bar3DChart>
      <c:catAx>
        <c:axId val="1404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19384"/>
        <c:crosses val="autoZero"/>
        <c:auto val="1"/>
        <c:lblOffset val="100"/>
        <c:tickLblSkip val="1"/>
        <c:noMultiLvlLbl val="0"/>
      </c:catAx>
      <c:valAx>
        <c:axId val="59319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7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14437.799999999996</c:v>
                </c:pt>
              </c:numCache>
            </c:numRef>
          </c:val>
          <c:shape val="box"/>
        </c:ser>
        <c:shape val="box"/>
        <c:axId val="64112409"/>
        <c:axId val="40140770"/>
      </c:bar3DChart>
      <c:catAx>
        <c:axId val="6411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40770"/>
        <c:crosses val="autoZero"/>
        <c:auto val="1"/>
        <c:lblOffset val="100"/>
        <c:tickLblSkip val="1"/>
        <c:noMultiLvlLbl val="0"/>
      </c:catAx>
      <c:valAx>
        <c:axId val="40140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12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25445.500000000004</c:v>
                </c:pt>
              </c:numCache>
            </c:numRef>
          </c:val>
          <c:shape val="box"/>
        </c:ser>
        <c:shape val="box"/>
        <c:axId val="25722611"/>
        <c:axId val="30176908"/>
      </c:bar3DChart>
      <c:catAx>
        <c:axId val="2572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76908"/>
        <c:crosses val="autoZero"/>
        <c:auto val="1"/>
        <c:lblOffset val="100"/>
        <c:tickLblSkip val="2"/>
        <c:noMultiLvlLbl val="0"/>
      </c:catAx>
      <c:valAx>
        <c:axId val="30176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2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6622.799999999999</c:v>
                </c:pt>
              </c:numCache>
            </c:numRef>
          </c:val>
          <c:shape val="box"/>
        </c:ser>
        <c:shape val="box"/>
        <c:axId val="3156717"/>
        <c:axId val="28410454"/>
      </c:bar3DChart>
      <c:catAx>
        <c:axId val="315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10454"/>
        <c:crosses val="autoZero"/>
        <c:auto val="1"/>
        <c:lblOffset val="100"/>
        <c:tickLblSkip val="1"/>
        <c:noMultiLvlLbl val="0"/>
      </c:catAx>
      <c:valAx>
        <c:axId val="28410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6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57928.7</c:v>
                </c:pt>
              </c:numCache>
            </c:numRef>
          </c:val>
          <c:shape val="box"/>
        </c:ser>
        <c:shape val="box"/>
        <c:axId val="54367495"/>
        <c:axId val="19545408"/>
      </c:bar3DChart>
      <c:catAx>
        <c:axId val="5436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545408"/>
        <c:crosses val="autoZero"/>
        <c:auto val="1"/>
        <c:lblOffset val="100"/>
        <c:tickLblSkip val="1"/>
        <c:noMultiLvlLbl val="0"/>
      </c:catAx>
      <c:valAx>
        <c:axId val="19545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541204.0999999999</c:v>
                </c:pt>
                <c:pt idx="1">
                  <c:v>234398.33699999988</c:v>
                </c:pt>
                <c:pt idx="2">
                  <c:v>14437.799999999996</c:v>
                </c:pt>
                <c:pt idx="3">
                  <c:v>25445.500000000004</c:v>
                </c:pt>
                <c:pt idx="4">
                  <c:v>6622.799999999999</c:v>
                </c:pt>
                <c:pt idx="5">
                  <c:v>126379</c:v>
                </c:pt>
                <c:pt idx="6">
                  <c:v>57928.7</c:v>
                </c:pt>
              </c:numCache>
            </c:numRef>
          </c:val>
          <c:shape val="box"/>
        </c:ser>
        <c:shape val="box"/>
        <c:axId val="41690945"/>
        <c:axId val="39674186"/>
      </c:bar3DChart>
      <c:catAx>
        <c:axId val="416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74186"/>
        <c:crosses val="autoZero"/>
        <c:auto val="1"/>
        <c:lblOffset val="100"/>
        <c:tickLblSkip val="1"/>
        <c:noMultiLvlLbl val="0"/>
      </c:catAx>
      <c:valAx>
        <c:axId val="39674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90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995482.1</c:v>
                </c:pt>
                <c:pt idx="1">
                  <c:v>125217.3</c:v>
                </c:pt>
                <c:pt idx="2">
                  <c:v>48102.700000000004</c:v>
                </c:pt>
                <c:pt idx="3">
                  <c:v>87440.30000000002</c:v>
                </c:pt>
                <c:pt idx="4">
                  <c:v>122.9</c:v>
                </c:pt>
                <c:pt idx="5">
                  <c:v>1251617.3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602252.3</c:v>
                </c:pt>
                <c:pt idx="1">
                  <c:v>62765.89999999997</c:v>
                </c:pt>
                <c:pt idx="2">
                  <c:v>27072.5</c:v>
                </c:pt>
                <c:pt idx="3">
                  <c:v>44377.10000000001</c:v>
                </c:pt>
                <c:pt idx="4">
                  <c:v>38.49999999999999</c:v>
                </c:pt>
                <c:pt idx="5">
                  <c:v>626200.7567899998</c:v>
                </c:pt>
              </c:numCache>
            </c:numRef>
          </c:val>
          <c:shape val="box"/>
        </c:ser>
        <c:shape val="box"/>
        <c:axId val="21523355"/>
        <c:axId val="59492468"/>
      </c:bar3DChart>
      <c:catAx>
        <c:axId val="2152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92468"/>
        <c:crosses val="autoZero"/>
        <c:auto val="1"/>
        <c:lblOffset val="100"/>
        <c:tickLblSkip val="1"/>
        <c:noMultiLvlLbl val="0"/>
      </c:catAx>
      <c:valAx>
        <c:axId val="59492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23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1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94" sqref="D94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13.625" style="130" customWidth="1"/>
    <col min="13" max="13" width="11.375" style="130" bestFit="1" customWidth="1"/>
    <col min="14" max="16384" width="9.125" style="130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109</v>
      </c>
      <c r="C3" s="165" t="s">
        <v>103</v>
      </c>
      <c r="D3" s="165" t="s">
        <v>20</v>
      </c>
      <c r="E3" s="165" t="s">
        <v>19</v>
      </c>
      <c r="F3" s="165" t="s">
        <v>110</v>
      </c>
      <c r="G3" s="165" t="s">
        <v>105</v>
      </c>
      <c r="H3" s="165" t="s">
        <v>111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35"/>
    </row>
    <row r="6" spans="1:12" ht="18.75" thickBot="1">
      <c r="A6" s="18" t="s">
        <v>24</v>
      </c>
      <c r="B6" s="34">
        <f>579162.3-150.8</f>
        <v>579011.5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</f>
        <v>541204.0999999999</v>
      </c>
      <c r="E6" s="3">
        <f>D6/D156*100</f>
        <v>39.71536635869951</v>
      </c>
      <c r="F6" s="3">
        <f>D6/B6*100</f>
        <v>93.47035421576253</v>
      </c>
      <c r="G6" s="3">
        <f aca="true" t="shared" si="0" ref="G6:G43">D6/C6*100</f>
        <v>58.70286099437033</v>
      </c>
      <c r="H6" s="36">
        <f aca="true" t="shared" si="1" ref="H6:H12">B6-D6</f>
        <v>37807.40000000014</v>
      </c>
      <c r="I6" s="36">
        <f aca="true" t="shared" si="2" ref="I6:I43">C6-D6</f>
        <v>380734.1000000001</v>
      </c>
      <c r="J6" s="135"/>
      <c r="L6" s="136">
        <f>H6-H7</f>
        <v>31180.10000000015</v>
      </c>
    </row>
    <row r="7" spans="1:9" s="84" customFormat="1" ht="18.75">
      <c r="A7" s="121" t="s">
        <v>79</v>
      </c>
      <c r="B7" s="122">
        <v>196242.1</v>
      </c>
      <c r="C7" s="123">
        <f>298956.2+3.2</f>
        <v>298959.4</v>
      </c>
      <c r="D7" s="124">
        <f>12060.7+9623.1+1044.7+273.5+10510.2+12398.6+40.7+10550.7+12514+8.7+10597.9+12396.7+14.3-11.2+14.3+10532.6+25726.8+2302.2+41728.4+13.4+10871.6+847.7+4031.4+88.2+671.5+0.1+764</f>
        <v>189614.80000000002</v>
      </c>
      <c r="E7" s="125">
        <f>D7/D6*100</f>
        <v>35.03572866502675</v>
      </c>
      <c r="F7" s="125">
        <f>D7/B7*100</f>
        <v>96.62289590256118</v>
      </c>
      <c r="G7" s="125">
        <f>D7/C7*100</f>
        <v>63.424933285255456</v>
      </c>
      <c r="H7" s="124">
        <f t="shared" si="1"/>
        <v>6627.299999999988</v>
      </c>
      <c r="I7" s="124">
        <f t="shared" si="2"/>
        <v>109344.6</v>
      </c>
    </row>
    <row r="8" spans="1:9" s="135" customFormat="1" ht="18">
      <c r="A8" s="89" t="s">
        <v>3</v>
      </c>
      <c r="B8" s="108">
        <v>464376.6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</f>
        <v>446271.5000000001</v>
      </c>
      <c r="E8" s="93">
        <f>D8/D6*100</f>
        <v>82.45900206594892</v>
      </c>
      <c r="F8" s="93">
        <f>D8/B8*100</f>
        <v>96.10120320446813</v>
      </c>
      <c r="G8" s="93">
        <f t="shared" si="0"/>
        <v>61.179830286758865</v>
      </c>
      <c r="H8" s="91">
        <f t="shared" si="1"/>
        <v>18105.09999999986</v>
      </c>
      <c r="I8" s="91">
        <f t="shared" si="2"/>
        <v>283170.69999999984</v>
      </c>
    </row>
    <row r="9" spans="1:9" s="135" customFormat="1" ht="18">
      <c r="A9" s="89" t="s">
        <v>2</v>
      </c>
      <c r="B9" s="108">
        <v>51.7</v>
      </c>
      <c r="C9" s="109">
        <v>104.9</v>
      </c>
      <c r="D9" s="91">
        <f>16.3+0.9+0.3+8.7+9.7+0.3+0.4+0.4+0.1+0.5</f>
        <v>37.599999999999994</v>
      </c>
      <c r="E9" s="110">
        <f>D9/D6*100</f>
        <v>0.00694747138833575</v>
      </c>
      <c r="F9" s="93">
        <f>D9/B9*100</f>
        <v>72.7272727272727</v>
      </c>
      <c r="G9" s="93">
        <f t="shared" si="0"/>
        <v>35.84366062917063</v>
      </c>
      <c r="H9" s="91">
        <f t="shared" si="1"/>
        <v>14.100000000000009</v>
      </c>
      <c r="I9" s="91">
        <f t="shared" si="2"/>
        <v>67.30000000000001</v>
      </c>
    </row>
    <row r="10" spans="1:9" s="135" customFormat="1" ht="18">
      <c r="A10" s="89" t="s">
        <v>1</v>
      </c>
      <c r="B10" s="108">
        <v>26997.6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</f>
        <v>24981.699999999997</v>
      </c>
      <c r="E10" s="93">
        <f>D10/D6*100</f>
        <v>4.61594803143583</v>
      </c>
      <c r="F10" s="93">
        <f aca="true" t="shared" si="3" ref="F10:F41">D10/B10*100</f>
        <v>92.53303997392361</v>
      </c>
      <c r="G10" s="93">
        <f t="shared" si="0"/>
        <v>57.50878226879497</v>
      </c>
      <c r="H10" s="91">
        <f t="shared" si="1"/>
        <v>2015.9000000000015</v>
      </c>
      <c r="I10" s="91">
        <f t="shared" si="2"/>
        <v>18458.100000000006</v>
      </c>
    </row>
    <row r="11" spans="1:9" s="135" customFormat="1" ht="18">
      <c r="A11" s="89" t="s">
        <v>0</v>
      </c>
      <c r="B11" s="108">
        <f>57233.2-150.8+0.1</f>
        <v>57082.49999999999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</f>
        <v>49617.799999999974</v>
      </c>
      <c r="E11" s="93">
        <f>D11/D6*100</f>
        <v>9.168038453515038</v>
      </c>
      <c r="F11" s="93">
        <f t="shared" si="3"/>
        <v>86.9229623790128</v>
      </c>
      <c r="G11" s="93">
        <f t="shared" si="0"/>
        <v>50.49767142694302</v>
      </c>
      <c r="H11" s="91">
        <f t="shared" si="1"/>
        <v>7464.700000000019</v>
      </c>
      <c r="I11" s="91">
        <f t="shared" si="2"/>
        <v>48639.80000000003</v>
      </c>
    </row>
    <row r="12" spans="1:9" s="135" customFormat="1" ht="18">
      <c r="A12" s="89" t="s">
        <v>12</v>
      </c>
      <c r="B12" s="108">
        <v>7771.4</v>
      </c>
      <c r="C12" s="109">
        <f>13016.5-27.3-2+2.3</f>
        <v>12989.5</v>
      </c>
      <c r="D12" s="91">
        <f>134.7+863.6+21+169+134.3+503.1+242.3+376.7+419.7+11.5+196.3+194.7+350.5+128.8+306+205.9+21+475.1+46.1+265+1+11.5+502+21+253.6+228.1+113.2+114.8+47.7+65.2+24.1+347.4-0.1+12</f>
        <v>6806.8</v>
      </c>
      <c r="E12" s="93">
        <f>D12/D6*100</f>
        <v>1.257714049099037</v>
      </c>
      <c r="F12" s="93">
        <f t="shared" si="3"/>
        <v>87.58782201405153</v>
      </c>
      <c r="G12" s="93">
        <f t="shared" si="0"/>
        <v>52.40232495477116</v>
      </c>
      <c r="H12" s="91">
        <f t="shared" si="1"/>
        <v>964.5999999999995</v>
      </c>
      <c r="I12" s="91">
        <f t="shared" si="2"/>
        <v>6182.7</v>
      </c>
    </row>
    <row r="13" spans="1:9" s="135" customFormat="1" ht="18.75" thickBot="1">
      <c r="A13" s="89" t="s">
        <v>25</v>
      </c>
      <c r="B13" s="109">
        <f>B6-B8-B9-B10-B11-B12</f>
        <v>22731.70000000004</v>
      </c>
      <c r="C13" s="109">
        <f>C6-C8-C9-C10-C11-C12</f>
        <v>37704.19999999998</v>
      </c>
      <c r="D13" s="109">
        <f>D6-D8-D9-D10-D11-D12</f>
        <v>13488.699999999768</v>
      </c>
      <c r="E13" s="93">
        <f>D13/D6*100</f>
        <v>2.4923499286128417</v>
      </c>
      <c r="F13" s="93">
        <f t="shared" si="3"/>
        <v>59.338720817183685</v>
      </c>
      <c r="G13" s="93">
        <f t="shared" si="0"/>
        <v>35.775059542437646</v>
      </c>
      <c r="H13" s="91">
        <f aca="true" t="shared" si="4" ref="H13:H44">B13-D13</f>
        <v>9243.000000000273</v>
      </c>
      <c r="I13" s="91">
        <f t="shared" si="2"/>
        <v>24215.500000000215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254423.8-580-1434.2</f>
        <v>252409.59999999998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</f>
        <v>234398.33699999988</v>
      </c>
      <c r="E18" s="3">
        <f>D18/D156*100</f>
        <v>17.20093367331273</v>
      </c>
      <c r="F18" s="3">
        <f>D18/B18*100</f>
        <v>92.86427180265723</v>
      </c>
      <c r="G18" s="3">
        <f t="shared" si="0"/>
        <v>56.0149963054693</v>
      </c>
      <c r="H18" s="156">
        <f t="shared" si="4"/>
        <v>18011.263000000094</v>
      </c>
      <c r="I18" s="36">
        <f t="shared" si="2"/>
        <v>184058.0630000002</v>
      </c>
      <c r="J18" s="135"/>
      <c r="L18" s="136">
        <f>H18-H19</f>
        <v>18011.200000000114</v>
      </c>
    </row>
    <row r="19" spans="1:9" s="84" customFormat="1" ht="18.75">
      <c r="A19" s="121" t="s">
        <v>80</v>
      </c>
      <c r="B19" s="122">
        <v>119666.4</v>
      </c>
      <c r="C19" s="123">
        <f>204458.2+897.7+0.2</f>
        <v>205356.10000000003</v>
      </c>
      <c r="D19" s="124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</f>
        <v>119666.33700000001</v>
      </c>
      <c r="E19" s="125">
        <f>D19/D18*100</f>
        <v>51.05255375595949</v>
      </c>
      <c r="F19" s="125">
        <f t="shared" si="3"/>
        <v>99.99994735364315</v>
      </c>
      <c r="G19" s="125">
        <f t="shared" si="0"/>
        <v>58.27259915824268</v>
      </c>
      <c r="H19" s="124">
        <f t="shared" si="4"/>
        <v>0.06299999998009298</v>
      </c>
      <c r="I19" s="124">
        <f t="shared" si="2"/>
        <v>85689.76300000002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587.5</v>
      </c>
      <c r="C24" s="109">
        <v>999.4</v>
      </c>
      <c r="D24" s="91">
        <f>199.2+100.3+88.2+109-0.1</f>
        <v>496.59999999999997</v>
      </c>
      <c r="E24" s="93">
        <f>D24/D18*100</f>
        <v>0.21186157135577297</v>
      </c>
      <c r="F24" s="93">
        <f t="shared" si="3"/>
        <v>84.52765957446809</v>
      </c>
      <c r="G24" s="93">
        <f t="shared" si="0"/>
        <v>49.68981388833299</v>
      </c>
      <c r="H24" s="91">
        <f t="shared" si="4"/>
        <v>90.90000000000003</v>
      </c>
      <c r="I24" s="91">
        <f t="shared" si="2"/>
        <v>502.8</v>
      </c>
    </row>
    <row r="25" spans="1:9" s="135" customFormat="1" ht="18.75" thickBot="1">
      <c r="A25" s="89" t="s">
        <v>25</v>
      </c>
      <c r="B25" s="109">
        <f>B18-B24</f>
        <v>251822.09999999998</v>
      </c>
      <c r="C25" s="109">
        <f>C18-C24</f>
        <v>417457.00000000006</v>
      </c>
      <c r="D25" s="109">
        <f>D18-D24</f>
        <v>233901.73699999988</v>
      </c>
      <c r="E25" s="93">
        <f>D25/D18*100</f>
        <v>99.78813842864423</v>
      </c>
      <c r="F25" s="93">
        <f t="shared" si="3"/>
        <v>92.88372108722781</v>
      </c>
      <c r="G25" s="93">
        <f t="shared" si="0"/>
        <v>56.03013891251071</v>
      </c>
      <c r="H25" s="91">
        <f t="shared" si="4"/>
        <v>17920.3630000001</v>
      </c>
      <c r="I25" s="91">
        <f t="shared" si="2"/>
        <v>183555.26300000018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f>15370+16.9+150.8</f>
        <v>15537.699999999999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</f>
        <v>14437.799999999996</v>
      </c>
      <c r="E33" s="3">
        <f>D33/D156*100</f>
        <v>1.059494036378571</v>
      </c>
      <c r="F33" s="3">
        <f>D33/B33*100</f>
        <v>92.92108870682274</v>
      </c>
      <c r="G33" s="155">
        <f t="shared" si="0"/>
        <v>53.01387970918703</v>
      </c>
      <c r="H33" s="156">
        <f t="shared" si="4"/>
        <v>1099.9000000000033</v>
      </c>
      <c r="I33" s="36">
        <f t="shared" si="2"/>
        <v>12796.200000000004</v>
      </c>
      <c r="J33" s="135"/>
    </row>
    <row r="34" spans="1:9" s="135" customFormat="1" ht="18">
      <c r="A34" s="89" t="s">
        <v>3</v>
      </c>
      <c r="B34" s="108">
        <v>8465</v>
      </c>
      <c r="C34" s="109">
        <v>14255.8</v>
      </c>
      <c r="D34" s="91">
        <f>95.5+254.3+520.9+145.6+77.4+290.2+14+629.4+494.6+11.4+607.6+26.4+384.9+103.2+27.1+151.5+461.6+16.4+14.3-0.2+100.6+400.5+180.4+615.1+100.6+396.6-0.2+1.8+800.9+4.3+120.7+413.3+43-0.1+786.7</f>
        <v>8290.300000000001</v>
      </c>
      <c r="E34" s="93">
        <f>D34/D33*100</f>
        <v>57.420798182548616</v>
      </c>
      <c r="F34" s="93">
        <f t="shared" si="3"/>
        <v>97.93620791494389</v>
      </c>
      <c r="G34" s="93">
        <f t="shared" si="0"/>
        <v>58.153874212601195</v>
      </c>
      <c r="H34" s="91">
        <f t="shared" si="4"/>
        <v>174.6999999999989</v>
      </c>
      <c r="I34" s="91">
        <f t="shared" si="2"/>
        <v>5965.499999999998</v>
      </c>
    </row>
    <row r="35" spans="1:9" s="135" customFormat="1" ht="18">
      <c r="A35" s="89" t="s">
        <v>1</v>
      </c>
      <c r="B35" s="108">
        <v>54.5</v>
      </c>
      <c r="C35" s="109">
        <f>87.1-32.6</f>
        <v>54.49999999999999</v>
      </c>
      <c r="D35" s="91">
        <f>10+2+7.5+3+1.9+26.2+3.9</f>
        <v>54.49999999999999</v>
      </c>
      <c r="E35" s="93">
        <f>D35/D33*100</f>
        <v>0.3774813337212041</v>
      </c>
      <c r="F35" s="93">
        <f t="shared" si="3"/>
        <v>99.99999999999999</v>
      </c>
      <c r="G35" s="93">
        <f t="shared" si="0"/>
        <v>100</v>
      </c>
      <c r="H35" s="91">
        <f t="shared" si="4"/>
        <v>0</v>
      </c>
      <c r="I35" s="91">
        <f t="shared" si="2"/>
        <v>0</v>
      </c>
    </row>
    <row r="36" spans="1:9" s="135" customFormat="1" ht="18">
      <c r="A36" s="89" t="s">
        <v>0</v>
      </c>
      <c r="B36" s="108">
        <v>1183.4</v>
      </c>
      <c r="C36" s="109">
        <f>2087.8+0.3</f>
        <v>2088.1000000000004</v>
      </c>
      <c r="D36" s="91">
        <f>1.1+273.8+98.4+76.8+0.5+2.1+0.3+6.6+52.2+342.8+0.4+3.3+12.2+25.8+7.1+2.1+70+0.1+0.7+1.9+15.3</f>
        <v>993.5000000000001</v>
      </c>
      <c r="E36" s="93">
        <f>D36/D33*100</f>
        <v>6.881242294532411</v>
      </c>
      <c r="F36" s="93">
        <f t="shared" si="3"/>
        <v>83.95301673145175</v>
      </c>
      <c r="G36" s="93">
        <f t="shared" si="0"/>
        <v>47.57913893012786</v>
      </c>
      <c r="H36" s="91">
        <f t="shared" si="4"/>
        <v>189.89999999999998</v>
      </c>
      <c r="I36" s="91">
        <f t="shared" si="2"/>
        <v>1094.6000000000004</v>
      </c>
    </row>
    <row r="37" spans="1:9" s="84" customFormat="1" ht="18.75">
      <c r="A37" s="149" t="s">
        <v>7</v>
      </c>
      <c r="B37" s="119">
        <v>358.6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1.726717366911857</v>
      </c>
      <c r="F37" s="96">
        <f t="shared" si="3"/>
        <v>69.52035694366982</v>
      </c>
      <c r="G37" s="96">
        <f t="shared" si="0"/>
        <v>23.02789580639202</v>
      </c>
      <c r="H37" s="87">
        <f t="shared" si="4"/>
        <v>109.30000000000001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5.1+45.9+8.7+34</f>
        <v>93.7</v>
      </c>
      <c r="E38" s="93">
        <f>D38/D33*100</f>
        <v>0.6489908434803089</v>
      </c>
      <c r="F38" s="93">
        <f t="shared" si="3"/>
        <v>82.55506607929516</v>
      </c>
      <c r="G38" s="93">
        <f t="shared" si="0"/>
        <v>45.81907090464548</v>
      </c>
      <c r="H38" s="91">
        <f t="shared" si="4"/>
        <v>19.799999999999997</v>
      </c>
      <c r="I38" s="91">
        <f t="shared" si="2"/>
        <v>110.8</v>
      </c>
    </row>
    <row r="39" spans="1:9" s="135" customFormat="1" ht="18.75" thickBot="1">
      <c r="A39" s="89" t="s">
        <v>25</v>
      </c>
      <c r="B39" s="108">
        <f>B33-B34-B36-B37-B35-B38</f>
        <v>5362.699999999999</v>
      </c>
      <c r="C39" s="108">
        <f>C33-C34-C36-C37-C35-C38</f>
        <v>9548.5</v>
      </c>
      <c r="D39" s="108">
        <f>D33-D34-D36-D37-D35-D38</f>
        <v>4756.4999999999945</v>
      </c>
      <c r="E39" s="93">
        <f>D39/D33*100</f>
        <v>32.9447699788056</v>
      </c>
      <c r="F39" s="93">
        <f t="shared" si="3"/>
        <v>88.69599269024923</v>
      </c>
      <c r="G39" s="93">
        <f t="shared" si="0"/>
        <v>49.814106927789645</v>
      </c>
      <c r="H39" s="91">
        <f t="shared" si="4"/>
        <v>606.2000000000044</v>
      </c>
      <c r="I39" s="91">
        <f t="shared" si="2"/>
        <v>4792.0000000000055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19.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v>569</v>
      </c>
      <c r="C43" s="35">
        <f>955.1+25</f>
        <v>980.1</v>
      </c>
      <c r="D43" s="36">
        <f>18+9.7+7.2+11.6+18.4+18.7+25.1+13.5+2.2+2+16.6+22.9+12+21+7.7+15.6+10+15+10+0.1+10.1+18.6+9+50.3+7+2+8+16.2+27.7+2+2+2+5.5+4+20.4+5+2+2-0.1+2</f>
        <v>453.00000000000006</v>
      </c>
      <c r="E43" s="3">
        <f>D43/D156*100</f>
        <v>0.03324265459276988</v>
      </c>
      <c r="F43" s="3">
        <f>D43/B43*100</f>
        <v>79.6133567662566</v>
      </c>
      <c r="G43" s="3">
        <f t="shared" si="0"/>
        <v>46.21977349250077</v>
      </c>
      <c r="H43" s="156">
        <f t="shared" si="4"/>
        <v>115.99999999999994</v>
      </c>
      <c r="I43" s="36">
        <f t="shared" si="2"/>
        <v>527.0999999999999</v>
      </c>
      <c r="J43" s="135"/>
    </row>
    <row r="44" spans="1:10" ht="18.75" hidden="1" thickBot="1">
      <c r="A44" s="147" t="s">
        <v>12</v>
      </c>
      <c r="B44" s="143">
        <v>0</v>
      </c>
      <c r="C44" s="144">
        <f>51.5-51.5</f>
        <v>0</v>
      </c>
      <c r="D44" s="145">
        <v>0</v>
      </c>
      <c r="E44" s="146">
        <f>D44/D39*100</f>
        <v>0</v>
      </c>
      <c r="F44" s="146" t="e">
        <f>D44/B44*100</f>
        <v>#DIV/0!</v>
      </c>
      <c r="G44" s="146" t="e">
        <f>D44/C44*100</f>
        <v>#DIV/0!</v>
      </c>
      <c r="H44" s="91">
        <f t="shared" si="4"/>
        <v>0</v>
      </c>
      <c r="I44" s="145">
        <f>C44-D44</f>
        <v>0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9772.5+32.7</f>
        <v>9805.2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</f>
        <v>9497.5</v>
      </c>
      <c r="E46" s="3">
        <f>D46/D156*100</f>
        <v>0.6969583046243528</v>
      </c>
      <c r="F46" s="3">
        <f>D46/B46*100</f>
        <v>96.86186921225472</v>
      </c>
      <c r="G46" s="3">
        <f aca="true" t="shared" si="5" ref="G46:G78">D46/C46*100</f>
        <v>56.19556470699614</v>
      </c>
      <c r="H46" s="36">
        <f>B46-D46</f>
        <v>307.7000000000007</v>
      </c>
      <c r="I46" s="36">
        <f aca="true" t="shared" si="6" ref="I46:I79">C46-D46</f>
        <v>7403.299999999996</v>
      </c>
      <c r="J46" s="135"/>
      <c r="K46" s="135"/>
    </row>
    <row r="47" spans="1:9" s="135" customFormat="1" ht="18">
      <c r="A47" s="89" t="s">
        <v>3</v>
      </c>
      <c r="B47" s="108">
        <v>8764.5</v>
      </c>
      <c r="C47" s="109">
        <v>15270.9</v>
      </c>
      <c r="D47" s="91">
        <f>332.5+633.1+14.1+510.1+691.2+14.1+377.2-0.1+896.5+425+839.9+7+383.6+0.2+7+859.2+449.3+922.6+495.5+806.4</f>
        <v>8664.4</v>
      </c>
      <c r="E47" s="93">
        <f>D47/D46*100</f>
        <v>91.22821795209265</v>
      </c>
      <c r="F47" s="93">
        <f aca="true" t="shared" si="7" ref="F47:F76">D47/B47*100</f>
        <v>98.8578926350619</v>
      </c>
      <c r="G47" s="93">
        <f t="shared" si="5"/>
        <v>56.73797877007903</v>
      </c>
      <c r="H47" s="91">
        <f aca="true" t="shared" si="8" ref="H47:H76">B47-D47</f>
        <v>100.10000000000036</v>
      </c>
      <c r="I47" s="91">
        <f t="shared" si="6"/>
        <v>6606.5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>
        <v>0.9</v>
      </c>
      <c r="E48" s="93">
        <f>D48/D46*100</f>
        <v>0.009476177941563569</v>
      </c>
      <c r="F48" s="93">
        <f t="shared" si="7"/>
        <v>100</v>
      </c>
      <c r="G48" s="93">
        <f t="shared" si="5"/>
        <v>56.25</v>
      </c>
      <c r="H48" s="91">
        <f t="shared" si="8"/>
        <v>0</v>
      </c>
      <c r="I48" s="91">
        <f t="shared" si="6"/>
        <v>0.7000000000000001</v>
      </c>
    </row>
    <row r="49" spans="1:9" s="135" customFormat="1" ht="18">
      <c r="A49" s="89" t="s">
        <v>1</v>
      </c>
      <c r="B49" s="108">
        <v>62.4</v>
      </c>
      <c r="C49" s="109">
        <v>106.3</v>
      </c>
      <c r="D49" s="91">
        <f>8.3+10.5+10.2+9.5+10.6+8.1</f>
        <v>57.2</v>
      </c>
      <c r="E49" s="93">
        <f>D49/D46*100</f>
        <v>0.6022637536193736</v>
      </c>
      <c r="F49" s="93">
        <f t="shared" si="7"/>
        <v>91.66666666666667</v>
      </c>
      <c r="G49" s="93">
        <f t="shared" si="5"/>
        <v>53.80997177798683</v>
      </c>
      <c r="H49" s="91">
        <f t="shared" si="8"/>
        <v>5.199999999999996</v>
      </c>
      <c r="I49" s="91">
        <f t="shared" si="6"/>
        <v>49.099999999999994</v>
      </c>
    </row>
    <row r="50" spans="1:9" s="135" customFormat="1" ht="18">
      <c r="A50" s="89" t="s">
        <v>0</v>
      </c>
      <c r="B50" s="108">
        <v>705.7</v>
      </c>
      <c r="C50" s="109">
        <v>998.4</v>
      </c>
      <c r="D50" s="91">
        <f>13.9+43.7+37.9+3.3+112.6+65.7+2.1+15.6+56.1+2.7+37.7+0.1+42+5.3+1.3+11.6+20.1+0.2+56.8+3.9+4+8.4</f>
        <v>545</v>
      </c>
      <c r="E50" s="93">
        <f>D50/D46*100</f>
        <v>5.738352197946829</v>
      </c>
      <c r="F50" s="93">
        <f t="shared" si="7"/>
        <v>77.22828397335978</v>
      </c>
      <c r="G50" s="93">
        <f t="shared" si="5"/>
        <v>54.587339743589745</v>
      </c>
      <c r="H50" s="91">
        <f t="shared" si="8"/>
        <v>160.70000000000005</v>
      </c>
      <c r="I50" s="91">
        <f t="shared" si="6"/>
        <v>453.4</v>
      </c>
    </row>
    <row r="51" spans="1:9" s="135" customFormat="1" ht="18.75" thickBot="1">
      <c r="A51" s="89" t="s">
        <v>25</v>
      </c>
      <c r="B51" s="109">
        <f>B46-B47-B50-B49-B48</f>
        <v>271.7000000000007</v>
      </c>
      <c r="C51" s="109">
        <f>C46-C47-C50-C49-C48</f>
        <v>523.599999999996</v>
      </c>
      <c r="D51" s="109">
        <f>D46-D47-D50-D49-D48</f>
        <v>230.00000000000037</v>
      </c>
      <c r="E51" s="93">
        <f>D51/D46*100</f>
        <v>2.4216899183995824</v>
      </c>
      <c r="F51" s="93">
        <f t="shared" si="7"/>
        <v>84.65218991534772</v>
      </c>
      <c r="G51" s="93">
        <f t="shared" si="5"/>
        <v>43.9266615737208</v>
      </c>
      <c r="H51" s="91">
        <f t="shared" si="8"/>
        <v>41.70000000000036</v>
      </c>
      <c r="I51" s="91">
        <f t="shared" si="6"/>
        <v>293.5999999999957</v>
      </c>
    </row>
    <row r="52" spans="1:10" ht="18.75" thickBot="1">
      <c r="A52" s="18" t="s">
        <v>4</v>
      </c>
      <c r="B52" s="34">
        <f>32326-400-152.8</f>
        <v>31773.2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</f>
        <v>25445.500000000004</v>
      </c>
      <c r="E52" s="3">
        <f>D52/D156*100</f>
        <v>1.867275866314185</v>
      </c>
      <c r="F52" s="3">
        <f>D52/B52*100</f>
        <v>80.08478843805472</v>
      </c>
      <c r="G52" s="3">
        <f t="shared" si="5"/>
        <v>49.45310161737326</v>
      </c>
      <c r="H52" s="36">
        <f>B52-D52</f>
        <v>6327.699999999997</v>
      </c>
      <c r="I52" s="36">
        <f t="shared" si="6"/>
        <v>26008.3</v>
      </c>
      <c r="J52" s="135"/>
    </row>
    <row r="53" spans="1:9" s="135" customFormat="1" ht="18">
      <c r="A53" s="89" t="s">
        <v>3</v>
      </c>
      <c r="B53" s="108">
        <v>17012.5</v>
      </c>
      <c r="C53" s="109">
        <v>25959.9</v>
      </c>
      <c r="D53" s="91">
        <f>721.7+980.4+865.2+984.4+270.7+792.3+9.9+66.7+1210.9+835.2+313.7+945.1+17.3+739.5+1432.2+7.4+1036.6-0.2+2347.5+193+703.6+685.6</f>
        <v>15158.7</v>
      </c>
      <c r="E53" s="93">
        <f>D53/D52*100</f>
        <v>59.57320547837534</v>
      </c>
      <c r="F53" s="93">
        <f t="shared" si="7"/>
        <v>89.10330639235856</v>
      </c>
      <c r="G53" s="93">
        <f t="shared" si="5"/>
        <v>58.39275189811979</v>
      </c>
      <c r="H53" s="91">
        <f t="shared" si="8"/>
        <v>1853.7999999999993</v>
      </c>
      <c r="I53" s="91">
        <f t="shared" si="6"/>
        <v>10801.2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2435.3</v>
      </c>
      <c r="C55" s="109">
        <f>4332.1-250</f>
        <v>4082.1000000000004</v>
      </c>
      <c r="D55" s="91">
        <f>3.2+7.6+9.6+11.4+10.1+24.7+6.6+7.8+2.3+6.6+70.1+102.1+3.2+185.8+105+116.2+245+84+7.3+8.9+0.2+110.8+122.9-0.1+5.4+43.7+5.9+0.4+35.5+6.2+57+84.1+17.2+1.6+53.4</f>
        <v>1561.7000000000005</v>
      </c>
      <c r="E55" s="93">
        <f>D55/D52*100</f>
        <v>6.137430979937514</v>
      </c>
      <c r="F55" s="93">
        <f t="shared" si="7"/>
        <v>64.12762288013799</v>
      </c>
      <c r="G55" s="93">
        <f t="shared" si="5"/>
        <v>38.25726954263738</v>
      </c>
      <c r="H55" s="91">
        <f t="shared" si="8"/>
        <v>873.5999999999997</v>
      </c>
      <c r="I55" s="91">
        <f t="shared" si="6"/>
        <v>2520.3999999999996</v>
      </c>
    </row>
    <row r="56" spans="1:9" s="135" customFormat="1" ht="18">
      <c r="A56" s="89" t="s">
        <v>0</v>
      </c>
      <c r="B56" s="108">
        <v>804.1</v>
      </c>
      <c r="C56" s="109">
        <f>1406.6+3.9+1</f>
        <v>1411.5</v>
      </c>
      <c r="D56" s="91">
        <f>0.3+1.2+21.4+80.5+2.4+14.5+22.9+268+5.9+0.1+8.8+0.5+18.5+22.5+0.1+5.1+69.1+23+1.1+16.4+1+37.3+17.3+14.3+2.9+3.7+0.1+2.9+7.3+0.4+17.9+0.9-0.1+5.7</f>
        <v>693.8999999999999</v>
      </c>
      <c r="E56" s="93">
        <f>D56/D52*100</f>
        <v>2.7270047749110833</v>
      </c>
      <c r="F56" s="93">
        <f t="shared" si="7"/>
        <v>86.29523691083196</v>
      </c>
      <c r="G56" s="93">
        <f t="shared" si="5"/>
        <v>49.16046758767268</v>
      </c>
      <c r="H56" s="91">
        <f t="shared" si="8"/>
        <v>110.20000000000016</v>
      </c>
      <c r="I56" s="91">
        <f t="shared" si="6"/>
        <v>717.6000000000001</v>
      </c>
    </row>
    <row r="57" spans="1:9" s="135" customFormat="1" ht="18">
      <c r="A57" s="89" t="s">
        <v>12</v>
      </c>
      <c r="B57" s="108">
        <f>2079.7-152.8</f>
        <v>1926.8999999999999</v>
      </c>
      <c r="C57" s="109">
        <f>4640-960</f>
        <v>3680</v>
      </c>
      <c r="D57" s="109">
        <f>227+242+245+245+245+245</f>
        <v>1449</v>
      </c>
      <c r="E57" s="93">
        <f>D57/D52*100</f>
        <v>5.694523589632744</v>
      </c>
      <c r="F57" s="93">
        <f>D57/B57*100</f>
        <v>75.19850537132183</v>
      </c>
      <c r="G57" s="93">
        <f>D57/C57*100</f>
        <v>39.375</v>
      </c>
      <c r="H57" s="91">
        <f t="shared" si="8"/>
        <v>477.89999999999986</v>
      </c>
      <c r="I57" s="91">
        <f t="shared" si="6"/>
        <v>2231</v>
      </c>
    </row>
    <row r="58" spans="1:9" s="135" customFormat="1" ht="18.75" thickBot="1">
      <c r="A58" s="89" t="s">
        <v>25</v>
      </c>
      <c r="B58" s="109">
        <f>B52-B53-B56-B55-B54-B57</f>
        <v>9594.4</v>
      </c>
      <c r="C58" s="109">
        <f>C52-C53-C56-C55-C54-C57</f>
        <v>16303.900000000001</v>
      </c>
      <c r="D58" s="109">
        <f>D52-D53-D56-D55-D54-D57</f>
        <v>6582.200000000003</v>
      </c>
      <c r="E58" s="93">
        <f>D58/D52*100</f>
        <v>25.867835177143313</v>
      </c>
      <c r="F58" s="93">
        <f t="shared" si="7"/>
        <v>68.60460268489955</v>
      </c>
      <c r="G58" s="93">
        <f t="shared" si="5"/>
        <v>40.3719355491631</v>
      </c>
      <c r="H58" s="91">
        <f>B58-D58</f>
        <v>3012.199999999997</v>
      </c>
      <c r="I58" s="91">
        <f>C58-D58</f>
        <v>9721.699999999999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f>6770.2+152.8</f>
        <v>6923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</f>
        <v>6622.799999999999</v>
      </c>
      <c r="E60" s="3">
        <f>D60/D156*100</f>
        <v>0.4860032071456871</v>
      </c>
      <c r="F60" s="3">
        <f>D60/B60*100</f>
        <v>95.66372959699552</v>
      </c>
      <c r="G60" s="3">
        <f t="shared" si="5"/>
        <v>74.80093518110662</v>
      </c>
      <c r="H60" s="36">
        <f>B60-D60</f>
        <v>300.2000000000007</v>
      </c>
      <c r="I60" s="36">
        <f t="shared" si="6"/>
        <v>2231.1000000000004</v>
      </c>
      <c r="J60" s="135"/>
    </row>
    <row r="61" spans="1:9" s="135" customFormat="1" ht="18">
      <c r="A61" s="89" t="s">
        <v>3</v>
      </c>
      <c r="B61" s="108">
        <v>2170</v>
      </c>
      <c r="C61" s="109">
        <v>3626.9</v>
      </c>
      <c r="D61" s="91">
        <f>80.6+106+88.7+4.1+50.7+38.1+180.6+95.6+203.1+54.2+59.8+86.2+109.7+0.1+49.5+34.4+208.9+102+130.9+94.1+121.3+0.1+99.9+81.5</f>
        <v>2080.1000000000004</v>
      </c>
      <c r="E61" s="93">
        <f>D61/D60*100</f>
        <v>31.40816573050674</v>
      </c>
      <c r="F61" s="93">
        <f t="shared" si="7"/>
        <v>95.85714285714288</v>
      </c>
      <c r="G61" s="93">
        <f t="shared" si="5"/>
        <v>57.35200860238773</v>
      </c>
      <c r="H61" s="91">
        <f t="shared" si="8"/>
        <v>89.89999999999964</v>
      </c>
      <c r="I61" s="91">
        <f t="shared" si="6"/>
        <v>1546.7999999999997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>
        <f>351.5+65.9</f>
        <v>417.4</v>
      </c>
      <c r="E62" s="93">
        <f>D62/D60*100</f>
        <v>6.302470254273118</v>
      </c>
      <c r="F62" s="93">
        <f>D62/B62*100</f>
        <v>99.38095238095238</v>
      </c>
      <c r="G62" s="93">
        <f t="shared" si="5"/>
        <v>99.38095238095238</v>
      </c>
      <c r="H62" s="91">
        <f t="shared" si="8"/>
        <v>2.6000000000000227</v>
      </c>
      <c r="I62" s="91">
        <f t="shared" si="6"/>
        <v>2.6000000000000227</v>
      </c>
    </row>
    <row r="63" spans="1:9" s="135" customFormat="1" ht="18">
      <c r="A63" s="89" t="s">
        <v>0</v>
      </c>
      <c r="B63" s="108">
        <v>319.8</v>
      </c>
      <c r="C63" s="109">
        <v>475.3</v>
      </c>
      <c r="D63" s="91">
        <f>9.6+44+118.7+0.1+30.8+0.2+16.8+0.1+13.9+3.1+7+0.8+0.9+4.6</f>
        <v>250.60000000000002</v>
      </c>
      <c r="E63" s="93">
        <f>D63/D60*100</f>
        <v>3.783898049163496</v>
      </c>
      <c r="F63" s="93">
        <f t="shared" si="7"/>
        <v>78.36147592245155</v>
      </c>
      <c r="G63" s="93">
        <f t="shared" si="5"/>
        <v>52.724594992636234</v>
      </c>
      <c r="H63" s="91">
        <f t="shared" si="8"/>
        <v>69.19999999999999</v>
      </c>
      <c r="I63" s="91">
        <f t="shared" si="6"/>
        <v>224.7</v>
      </c>
    </row>
    <row r="64" spans="1:9" s="135" customFormat="1" ht="18">
      <c r="A64" s="89" t="s">
        <v>12</v>
      </c>
      <c r="B64" s="108">
        <f>3281.2+152.8</f>
        <v>3434</v>
      </c>
      <c r="C64" s="109">
        <f>4848.7-1414.6</f>
        <v>3434.1</v>
      </c>
      <c r="D64" s="91">
        <f>494.9+450.8+494.9+146.2+852.6+994.7-0.1</f>
        <v>3434.0000000000005</v>
      </c>
      <c r="E64" s="93">
        <f>D64/D60*100</f>
        <v>51.85118076946308</v>
      </c>
      <c r="F64" s="93">
        <f t="shared" si="7"/>
        <v>100.00000000000003</v>
      </c>
      <c r="G64" s="93">
        <f t="shared" si="5"/>
        <v>99.99708802888676</v>
      </c>
      <c r="H64" s="91">
        <f t="shared" si="8"/>
        <v>0</v>
      </c>
      <c r="I64" s="91">
        <f t="shared" si="6"/>
        <v>0.0999999999994543</v>
      </c>
    </row>
    <row r="65" spans="1:9" s="135" customFormat="1" ht="18.75" thickBot="1">
      <c r="A65" s="89" t="s">
        <v>25</v>
      </c>
      <c r="B65" s="109">
        <f>B60-B61-B63-B64-B62</f>
        <v>579.1999999999998</v>
      </c>
      <c r="C65" s="109">
        <f>C60-C61-C63-C64-C62</f>
        <v>897.5999999999999</v>
      </c>
      <c r="D65" s="109">
        <f>D60-D61-D63-D64-D62</f>
        <v>440.6999999999981</v>
      </c>
      <c r="E65" s="93">
        <f>D65/D60*100</f>
        <v>6.654285196593558</v>
      </c>
      <c r="F65" s="93">
        <f t="shared" si="7"/>
        <v>76.08770718232014</v>
      </c>
      <c r="G65" s="93">
        <f t="shared" si="5"/>
        <v>49.09759358288749</v>
      </c>
      <c r="H65" s="91">
        <f t="shared" si="8"/>
        <v>138.5000000000017</v>
      </c>
      <c r="I65" s="91">
        <f t="shared" si="6"/>
        <v>456.9000000000018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289.5</v>
      </c>
      <c r="C70" s="35">
        <f>C71+C72</f>
        <v>408.6</v>
      </c>
      <c r="D70" s="36">
        <f>D71+D72</f>
        <v>248.3</v>
      </c>
      <c r="E70" s="27">
        <f>D70/D156*100</f>
        <v>0.01822108418407232</v>
      </c>
      <c r="F70" s="3">
        <f>D70/B70*100</f>
        <v>85.7685664939551</v>
      </c>
      <c r="G70" s="3">
        <f t="shared" si="5"/>
        <v>60.76847772883015</v>
      </c>
      <c r="H70" s="36">
        <f>B70-D70</f>
        <v>41.19999999999999</v>
      </c>
      <c r="I70" s="36">
        <f t="shared" si="6"/>
        <v>160.3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50+117.3+50</f>
        <v>217.3</v>
      </c>
      <c r="E71" s="93">
        <f>D71/D70*100</f>
        <v>87.51510269834877</v>
      </c>
      <c r="F71" s="93">
        <f t="shared" si="7"/>
        <v>100</v>
      </c>
      <c r="G71" s="93">
        <f t="shared" si="5"/>
        <v>100</v>
      </c>
      <c r="H71" s="91">
        <f t="shared" si="8"/>
        <v>0</v>
      </c>
      <c r="I71" s="91">
        <f t="shared" si="6"/>
        <v>0</v>
      </c>
    </row>
    <row r="72" spans="1:9" s="135" customFormat="1" ht="21" customHeight="1">
      <c r="A72" s="148" t="s">
        <v>107</v>
      </c>
      <c r="B72" s="108">
        <f>93.2-21</f>
        <v>72.2</v>
      </c>
      <c r="C72" s="109">
        <f>396.5-65.8-22.7-7.6-44.6-43.5-21</f>
        <v>191.29999999999998</v>
      </c>
      <c r="D72" s="91">
        <f>0.6+6.4+23.4+0.7-0.1</f>
        <v>30.999999999999996</v>
      </c>
      <c r="E72" s="93">
        <f>D72/D71*100</f>
        <v>14.265991716520936</v>
      </c>
      <c r="F72" s="93">
        <f t="shared" si="7"/>
        <v>42.936288088642655</v>
      </c>
      <c r="G72" s="93">
        <f t="shared" si="5"/>
        <v>16.20491374803973</v>
      </c>
      <c r="H72" s="91">
        <f t="shared" si="8"/>
        <v>41.2</v>
      </c>
      <c r="I72" s="91">
        <f t="shared" si="6"/>
        <v>160.29999999999998</v>
      </c>
    </row>
    <row r="73" spans="1:9" s="135" customFormat="1" ht="18.75" thickBot="1">
      <c r="A73" s="89" t="s">
        <v>46</v>
      </c>
      <c r="B73" s="108">
        <f>23.4+0.7</f>
        <v>24.099999999999998</v>
      </c>
      <c r="C73" s="109">
        <f>23.4+0.7</f>
        <v>24.099999999999998</v>
      </c>
      <c r="D73" s="109">
        <f>23.4+0.7</f>
        <v>24.099999999999998</v>
      </c>
      <c r="E73" s="93">
        <f>D73/D72*100</f>
        <v>77.74193548387098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v>80</v>
      </c>
      <c r="C79" s="49">
        <f>10000-9900</f>
        <v>100</v>
      </c>
      <c r="D79" s="50"/>
      <c r="E79" s="30"/>
      <c r="F79" s="30"/>
      <c r="G79" s="30"/>
      <c r="H79" s="50">
        <f>B79-D79</f>
        <v>80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f>130983.9+568+52</f>
        <v>131603.9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</f>
        <v>126379</v>
      </c>
      <c r="E92" s="3">
        <f>D92/D156*100</f>
        <v>9.274113564635018</v>
      </c>
      <c r="F92" s="3">
        <f aca="true" t="shared" si="11" ref="F92:F98">D92/B92*100</f>
        <v>96.0298289032468</v>
      </c>
      <c r="G92" s="3">
        <f t="shared" si="9"/>
        <v>58.1795699612793</v>
      </c>
      <c r="H92" s="36">
        <f aca="true" t="shared" si="12" ref="H92:H98">B92-D92</f>
        <v>5224.899999999994</v>
      </c>
      <c r="I92" s="36">
        <f t="shared" si="10"/>
        <v>90843.29999999999</v>
      </c>
      <c r="J92" s="135"/>
    </row>
    <row r="93" spans="1:9" s="135" customFormat="1" ht="21.75" customHeight="1">
      <c r="A93" s="89" t="s">
        <v>3</v>
      </c>
      <c r="B93" s="108">
        <f>123450.1+477.4+50+52+351.7</f>
        <v>124381.2</v>
      </c>
      <c r="C93" s="109">
        <f>195523.2+200-200+936+7331.5</f>
        <v>203790.7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</f>
        <v>120131.19999999998</v>
      </c>
      <c r="E93" s="93">
        <f>D93/D92*100</f>
        <v>95.05629891042024</v>
      </c>
      <c r="F93" s="93">
        <f t="shared" si="11"/>
        <v>96.58308490350632</v>
      </c>
      <c r="G93" s="93">
        <f t="shared" si="9"/>
        <v>58.948322960763164</v>
      </c>
      <c r="H93" s="91">
        <f t="shared" si="12"/>
        <v>4250.000000000015</v>
      </c>
      <c r="I93" s="91">
        <f t="shared" si="10"/>
        <v>83659.50000000003</v>
      </c>
    </row>
    <row r="94" spans="1:9" s="135" customFormat="1" ht="18">
      <c r="A94" s="89" t="s">
        <v>23</v>
      </c>
      <c r="B94" s="108">
        <f>1382.2+0.6</f>
        <v>1382.8</v>
      </c>
      <c r="C94" s="109">
        <v>2704.7</v>
      </c>
      <c r="D94" s="91">
        <f>10+5.9+981.6+112.5+3.5+4.3+3+9.2+59.4+52.3+6.5+0.9+71.3+23+0.6+0.1</f>
        <v>1344.1</v>
      </c>
      <c r="E94" s="93">
        <f>D94/D92*100</f>
        <v>1.0635469500470804</v>
      </c>
      <c r="F94" s="93">
        <f t="shared" si="11"/>
        <v>97.20133063349725</v>
      </c>
      <c r="G94" s="93">
        <f t="shared" si="9"/>
        <v>49.694975413169665</v>
      </c>
      <c r="H94" s="91">
        <f t="shared" si="12"/>
        <v>38.700000000000045</v>
      </c>
      <c r="I94" s="91">
        <f t="shared" si="10"/>
        <v>1360.6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5839.899999999997</v>
      </c>
      <c r="C96" s="109">
        <f>C92-C93-C94-C95</f>
        <v>10726.899999999976</v>
      </c>
      <c r="D96" s="109">
        <f>D92-D93-D94-D95</f>
        <v>4903.700000000017</v>
      </c>
      <c r="E96" s="93">
        <f>D96/D92*100</f>
        <v>3.880154139532689</v>
      </c>
      <c r="F96" s="93">
        <f t="shared" si="11"/>
        <v>83.96890357711638</v>
      </c>
      <c r="G96" s="93">
        <f>D96/C96*100</f>
        <v>45.714045996513704</v>
      </c>
      <c r="H96" s="91">
        <f t="shared" si="12"/>
        <v>936.1999999999798</v>
      </c>
      <c r="I96" s="91">
        <f>C96-D96</f>
        <v>5823.199999999959</v>
      </c>
    </row>
    <row r="97" spans="1:10" ht="18.75">
      <c r="A97" s="75" t="s">
        <v>10</v>
      </c>
      <c r="B97" s="83">
        <f>60184-243-100+2000-514-700</f>
        <v>60627</v>
      </c>
      <c r="C97" s="78">
        <f>83543+41100+1904.1+3500+20+3672-160</f>
        <v>133579.1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</f>
        <v>57928.7</v>
      </c>
      <c r="E97" s="74">
        <f>D97/D156*100</f>
        <v>4.251001688980547</v>
      </c>
      <c r="F97" s="76">
        <f t="shared" si="11"/>
        <v>95.54934270209642</v>
      </c>
      <c r="G97" s="73">
        <f>D97/C97*100</f>
        <v>43.36658953384174</v>
      </c>
      <c r="H97" s="77">
        <f t="shared" si="12"/>
        <v>2698.300000000003</v>
      </c>
      <c r="I97" s="79">
        <f>C97-D97</f>
        <v>75650.40000000001</v>
      </c>
      <c r="J97" s="135"/>
    </row>
    <row r="98" spans="1:9" s="135" customFormat="1" ht="18.75" thickBot="1">
      <c r="A98" s="111" t="s">
        <v>81</v>
      </c>
      <c r="B98" s="112">
        <f>9296.6-114-700</f>
        <v>8482.6</v>
      </c>
      <c r="C98" s="113">
        <f>16376.6</f>
        <v>16376.6</v>
      </c>
      <c r="D98" s="114">
        <f>101+2.6+598.7+1.6+2603.8+3.8+0.7+1149.5+2.1+129.3+1033.7+0.3+164.7+461.5+907.4+167.5+105.4+83.7+677.1+35.3+47.9+8.7+62.1+35</f>
        <v>8383.4</v>
      </c>
      <c r="E98" s="115">
        <f>D98/D97*100</f>
        <v>14.471928422353686</v>
      </c>
      <c r="F98" s="116">
        <f t="shared" si="11"/>
        <v>98.83054723787517</v>
      </c>
      <c r="G98" s="117">
        <f>D98/C98*100</f>
        <v>51.191333976527474</v>
      </c>
      <c r="H98" s="118">
        <f t="shared" si="12"/>
        <v>99.20000000000073</v>
      </c>
      <c r="I98" s="107">
        <f>C98-D98</f>
        <v>7993.200000000001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41645.4-26.4-2000</f>
        <v>39619</v>
      </c>
      <c r="C104" s="65">
        <f>73778+7.6+15.1-60.1+7.6-42.3+7.6+46-0.1</f>
        <v>73759.40000000001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</f>
        <v>35170.200000000004</v>
      </c>
      <c r="E104" s="16">
        <f>D104/D156*100</f>
        <v>2.5809068665753534</v>
      </c>
      <c r="F104" s="16">
        <f>D104/B104*100</f>
        <v>88.7710441959666</v>
      </c>
      <c r="G104" s="16">
        <f aca="true" t="shared" si="13" ref="G104:G154">D104/C104*100</f>
        <v>47.68232930311255</v>
      </c>
      <c r="H104" s="61">
        <f aca="true" t="shared" si="14" ref="H104:H154">B104-D104</f>
        <v>4448.799999999996</v>
      </c>
      <c r="I104" s="61">
        <f aca="true" t="shared" si="15" ref="I104:I154">C104-D104</f>
        <v>38589.200000000004</v>
      </c>
      <c r="J104" s="84"/>
    </row>
    <row r="105" spans="1:9" s="135" customFormat="1" ht="18.75" customHeight="1">
      <c r="A105" s="89" t="s">
        <v>3</v>
      </c>
      <c r="B105" s="100">
        <v>271.8</v>
      </c>
      <c r="C105" s="101">
        <v>543.6</v>
      </c>
      <c r="D105" s="101">
        <f>19.3+40.4+6+27+20.5+24.8+29.6</f>
        <v>167.6</v>
      </c>
      <c r="E105" s="102">
        <f>D105/D104*100</f>
        <v>0.47653979789708323</v>
      </c>
      <c r="F105" s="93">
        <f>D105/B105*100</f>
        <v>61.66298749080206</v>
      </c>
      <c r="G105" s="102">
        <f>D105/C105*100</f>
        <v>30.83149374540103</v>
      </c>
      <c r="H105" s="101">
        <f t="shared" si="14"/>
        <v>104.20000000000002</v>
      </c>
      <c r="I105" s="101">
        <f t="shared" si="15"/>
        <v>376</v>
      </c>
    </row>
    <row r="106" spans="1:9" s="135" customFormat="1" ht="18">
      <c r="A106" s="103" t="s">
        <v>46</v>
      </c>
      <c r="B106" s="90">
        <f>37146.4-112-2000</f>
        <v>35034.4</v>
      </c>
      <c r="C106" s="91">
        <f>65554.9+7.6+15.1-60.1+45.6-3+37.7+7.6-160</f>
        <v>65445.40000000001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</f>
        <v>31974.000000000015</v>
      </c>
      <c r="E106" s="93">
        <f>D106/D104*100</f>
        <v>90.91219270859993</v>
      </c>
      <c r="F106" s="93">
        <f aca="true" t="shared" si="16" ref="F106:F154">D106/B106*100</f>
        <v>91.26458566437562</v>
      </c>
      <c r="G106" s="93">
        <f t="shared" si="13"/>
        <v>48.85599293456837</v>
      </c>
      <c r="H106" s="91">
        <f t="shared" si="14"/>
        <v>3060.399999999987</v>
      </c>
      <c r="I106" s="91">
        <f t="shared" si="15"/>
        <v>33471.399999999994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4312.799999999996</v>
      </c>
      <c r="C108" s="105">
        <f>C104-C105-C106</f>
        <v>7770.399999999994</v>
      </c>
      <c r="D108" s="105">
        <f>D104-D105-D106</f>
        <v>3028.5999999999913</v>
      </c>
      <c r="E108" s="106">
        <f>D108/D104*100</f>
        <v>8.611267493502996</v>
      </c>
      <c r="F108" s="106">
        <f t="shared" si="16"/>
        <v>70.22352068261904</v>
      </c>
      <c r="G108" s="106">
        <f t="shared" si="13"/>
        <v>38.97611448574067</v>
      </c>
      <c r="H108" s="107">
        <f t="shared" si="14"/>
        <v>1284.2000000000044</v>
      </c>
      <c r="I108" s="107">
        <f t="shared" si="15"/>
        <v>4741.800000000003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318569.49999999994</v>
      </c>
      <c r="C109" s="63">
        <f>SUM(C110:C153)-C117-C122+C154-C144-C145-C111-C114-C125-C126-C142-C135-C133-C140-C120</f>
        <v>637096</v>
      </c>
      <c r="D109" s="63">
        <f>SUM(D110:D153)-D117-D122+D154-D144-D145-D111-D114-D125-D126-D142-D135-D133-D140-D120</f>
        <v>310921.81979</v>
      </c>
      <c r="E109" s="64">
        <f>D109/D156*100</f>
        <v>22.816482694557195</v>
      </c>
      <c r="F109" s="64">
        <f>D109/B109*100</f>
        <v>97.59936836075018</v>
      </c>
      <c r="G109" s="64">
        <f t="shared" si="13"/>
        <v>48.80297785420093</v>
      </c>
      <c r="H109" s="63">
        <f t="shared" si="14"/>
        <v>7647.680209999962</v>
      </c>
      <c r="I109" s="63">
        <f t="shared" si="15"/>
        <v>326174.18021</v>
      </c>
      <c r="J109" s="97"/>
    </row>
    <row r="110" spans="1:9" s="135" customFormat="1" ht="37.5">
      <c r="A110" s="150" t="s">
        <v>50</v>
      </c>
      <c r="B110" s="151">
        <f>2815.4-351.7</f>
        <v>2463.7000000000003</v>
      </c>
      <c r="C110" s="131">
        <v>4983.7</v>
      </c>
      <c r="D110" s="85">
        <f>1.8+140.5+138.5+0.9+33+80.9+13.3+0.1+53.3+109+1.4+124.9+19.8+24.9+9+3.6+91.3+61.8+18.7+59+14.7+34.7+0.1+2.2+3.8+2.1+129.5+15.3+0.5-0.3+15.6+0.9+145.2+1.4+33.8+73+26.3+109.9+61.1+11.7+3.2-0.1+0.6+6.1</f>
        <v>1676.9999999999998</v>
      </c>
      <c r="E110" s="86">
        <f>D110/D109*100</f>
        <v>0.5393638828991365</v>
      </c>
      <c r="F110" s="86">
        <f t="shared" si="16"/>
        <v>68.06835247798026</v>
      </c>
      <c r="G110" s="86">
        <f t="shared" si="13"/>
        <v>33.649698015530625</v>
      </c>
      <c r="H110" s="87">
        <f t="shared" si="14"/>
        <v>786.7000000000005</v>
      </c>
      <c r="I110" s="87">
        <f t="shared" si="15"/>
        <v>3306.7</v>
      </c>
    </row>
    <row r="111" spans="1:9" s="135" customFormat="1" ht="18">
      <c r="A111" s="89" t="s">
        <v>23</v>
      </c>
      <c r="B111" s="90">
        <f>1248.1-63.4</f>
        <v>1184.6999999999998</v>
      </c>
      <c r="C111" s="91">
        <v>2332.2</v>
      </c>
      <c r="D111" s="92">
        <f>2.4+138.5+0.9+33.1+80.9+53.3+1.8+1.1+124.9+24.9+6.2+38.5+59+14.7+33.9+0.6+2.3+35.5+60-0.1</f>
        <v>712.4</v>
      </c>
      <c r="E111" s="93">
        <f>D111/D110*100</f>
        <v>42.480620155038764</v>
      </c>
      <c r="F111" s="93">
        <f t="shared" si="16"/>
        <v>60.13336709715541</v>
      </c>
      <c r="G111" s="93">
        <f t="shared" si="13"/>
        <v>30.54626532887403</v>
      </c>
      <c r="H111" s="91">
        <f t="shared" si="14"/>
        <v>472.29999999999984</v>
      </c>
      <c r="I111" s="91">
        <f t="shared" si="15"/>
        <v>1619.7999999999997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75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75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11" s="135" customFormat="1" ht="37.5">
      <c r="A116" s="152" t="s">
        <v>36</v>
      </c>
      <c r="B116" s="153">
        <v>3469.6</v>
      </c>
      <c r="C116" s="87">
        <v>5785.2</v>
      </c>
      <c r="D116" s="85">
        <f>187.7+10.4+531.5+38.4+44.9+0.1+53.3+13.7+14.6+4.3+409.7+22.6+33.2+12.9+10.1+431+0.1+44.6+9.7+432.7+17.3+360.1+31.7-0.1+261.4+138.4</f>
        <v>3114.2999999999997</v>
      </c>
      <c r="E116" s="86">
        <f>D116/D109*100</f>
        <v>1.0016344308364824</v>
      </c>
      <c r="F116" s="86">
        <f t="shared" si="16"/>
        <v>89.75962646991007</v>
      </c>
      <c r="G116" s="86">
        <f t="shared" si="13"/>
        <v>53.832192491184394</v>
      </c>
      <c r="H116" s="87">
        <f t="shared" si="14"/>
        <v>355.3000000000002</v>
      </c>
      <c r="I116" s="87">
        <f t="shared" si="15"/>
        <v>2670.9</v>
      </c>
      <c r="K116" s="157">
        <f>H124+H143</f>
        <v>181.19999999999982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606.2</v>
      </c>
      <c r="C121" s="94">
        <v>1024.8</v>
      </c>
      <c r="D121" s="85">
        <f>80.5+0.2+38.8+80.5+0.8+10+10.3+80.5+16.8+0.3+4+80.5+10+10+0.3+0.8+80.5+1.1+1.1+0.2</f>
        <v>507.2000000000001</v>
      </c>
      <c r="E121" s="86">
        <f>D121/D109*100</f>
        <v>0.1631278243330007</v>
      </c>
      <c r="F121" s="86">
        <f t="shared" si="16"/>
        <v>83.6687561860772</v>
      </c>
      <c r="G121" s="86">
        <f t="shared" si="13"/>
        <v>49.49258391881344</v>
      </c>
      <c r="H121" s="87">
        <f t="shared" si="14"/>
        <v>98.99999999999994</v>
      </c>
      <c r="I121" s="87">
        <f t="shared" si="15"/>
        <v>517.5999999999999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80.5+80.5+80.5+80.5+0.1+80.5</f>
        <v>402.6</v>
      </c>
      <c r="E122" s="93">
        <f>D122/D121*100</f>
        <v>79.37697160883279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3">
        <v>195</v>
      </c>
      <c r="C123" s="94">
        <v>347</v>
      </c>
      <c r="D123" s="85">
        <f>34.5+13.8+4.3+21.7</f>
        <v>74.3</v>
      </c>
      <c r="E123" s="86">
        <f>D123/D109*100</f>
        <v>0.023896682468339803</v>
      </c>
      <c r="F123" s="86">
        <f t="shared" si="16"/>
        <v>38.1025641025641</v>
      </c>
      <c r="G123" s="86">
        <f t="shared" si="13"/>
        <v>21.412103746397694</v>
      </c>
      <c r="H123" s="87">
        <f t="shared" si="14"/>
        <v>120.7</v>
      </c>
      <c r="I123" s="87">
        <f t="shared" si="15"/>
        <v>272.7</v>
      </c>
    </row>
    <row r="124" spans="1:9" s="97" customFormat="1" ht="21.75" customHeight="1">
      <c r="A124" s="152" t="s">
        <v>92</v>
      </c>
      <c r="B124" s="153">
        <f>841.8-600</f>
        <v>241.79999999999995</v>
      </c>
      <c r="C124" s="94">
        <f>86+920</f>
        <v>1006</v>
      </c>
      <c r="D124" s="95">
        <f>54.4+15.9+15.6+12.1</f>
        <v>97.99999999999999</v>
      </c>
      <c r="E124" s="96">
        <f>D124/D109*100</f>
        <v>0.03151917741449933</v>
      </c>
      <c r="F124" s="86">
        <f t="shared" si="16"/>
        <v>40.52936311000827</v>
      </c>
      <c r="G124" s="86">
        <f t="shared" si="13"/>
        <v>9.741550695825048</v>
      </c>
      <c r="H124" s="87">
        <f t="shared" si="14"/>
        <v>143.79999999999995</v>
      </c>
      <c r="I124" s="87">
        <f t="shared" si="15"/>
        <v>908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3">
        <f>13006.2-52-504</f>
        <v>12450.2</v>
      </c>
      <c r="C127" s="94">
        <f>6156.2+17413.5-8000</f>
        <v>15569.7</v>
      </c>
      <c r="D127" s="95">
        <f>871.9+408.1+585.9+900.5+901.8+879.7+893+994.8+887.7+852.4+0.1+789.7+988.1+754.9+941.7+788.3</f>
        <v>12438.6</v>
      </c>
      <c r="E127" s="96">
        <f>D127/D109*100</f>
        <v>4.000555512122362</v>
      </c>
      <c r="F127" s="86">
        <f t="shared" si="16"/>
        <v>99.90682880596296</v>
      </c>
      <c r="G127" s="86">
        <f t="shared" si="13"/>
        <v>79.88978593036474</v>
      </c>
      <c r="H127" s="87">
        <f t="shared" si="14"/>
        <v>11.600000000000364</v>
      </c>
      <c r="I127" s="87">
        <f t="shared" si="15"/>
        <v>3131.1000000000004</v>
      </c>
      <c r="K127" s="88">
        <f>H110+H113+H116+H121+H123+H129+H130+H132+H134+H138+H139+H141+H150+H70+H128</f>
        <v>2701.5653800000005</v>
      </c>
    </row>
    <row r="128" spans="1:11" s="97" customFormat="1" ht="18.75">
      <c r="A128" s="152" t="s">
        <v>89</v>
      </c>
      <c r="B128" s="153">
        <v>96</v>
      </c>
      <c r="C128" s="94">
        <v>150</v>
      </c>
      <c r="D128" s="95"/>
      <c r="E128" s="96">
        <f>D128/D109*100</f>
        <v>0</v>
      </c>
      <c r="F128" s="86">
        <f t="shared" si="16"/>
        <v>0</v>
      </c>
      <c r="G128" s="86">
        <f t="shared" si="13"/>
        <v>0</v>
      </c>
      <c r="H128" s="87">
        <f t="shared" si="14"/>
        <v>96</v>
      </c>
      <c r="I128" s="87">
        <f t="shared" si="15"/>
        <v>150</v>
      </c>
      <c r="K128" s="88">
        <f>H111+H142</f>
        <v>576.9999999999998</v>
      </c>
    </row>
    <row r="129" spans="1:13" s="97" customFormat="1" ht="37.5">
      <c r="A129" s="152" t="s">
        <v>98</v>
      </c>
      <c r="B129" s="153">
        <v>483</v>
      </c>
      <c r="C129" s="94">
        <v>483</v>
      </c>
      <c r="D129" s="95">
        <v>2.2</v>
      </c>
      <c r="E129" s="96">
        <f>D129/D109*100</f>
        <v>0.000707573370529577</v>
      </c>
      <c r="F129" s="86">
        <f t="shared" si="16"/>
        <v>0.45548654244306425</v>
      </c>
      <c r="G129" s="86">
        <f t="shared" si="13"/>
        <v>0.45548654244306425</v>
      </c>
      <c r="H129" s="87">
        <f t="shared" si="14"/>
        <v>480.8</v>
      </c>
      <c r="I129" s="87">
        <f t="shared" si="15"/>
        <v>480.8</v>
      </c>
      <c r="K129" s="88">
        <f>H133+H140</f>
        <v>147.79999999999995</v>
      </c>
      <c r="M129" s="88"/>
    </row>
    <row r="130" spans="1:13" s="97" customFormat="1" ht="37.5" hidden="1">
      <c r="A130" s="152" t="s">
        <v>83</v>
      </c>
      <c r="B130" s="153">
        <f>154.3-154.3</f>
        <v>0</v>
      </c>
      <c r="C130" s="94">
        <f>154.3-154.3</f>
        <v>0</v>
      </c>
      <c r="D130" s="95"/>
      <c r="E130" s="96">
        <f>D130/D109*100</f>
        <v>0</v>
      </c>
      <c r="F130" s="86" t="e">
        <f t="shared" si="16"/>
        <v>#DIV/0!</v>
      </c>
      <c r="G130" s="86" t="e">
        <f t="shared" si="13"/>
        <v>#DIV/0!</v>
      </c>
      <c r="H130" s="87">
        <f t="shared" si="14"/>
        <v>0</v>
      </c>
      <c r="I130" s="87">
        <f t="shared" si="15"/>
        <v>0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382</v>
      </c>
      <c r="C132" s="94">
        <v>1003.9</v>
      </c>
      <c r="D132" s="95">
        <f>7.7+12.9+7.7+2.8+0.3+0.9+48+9.2+16+18.7+7+7.7+1.3+0.4+12+8.8+4.3+4.6+2.7+28.5+7.2+7.7-0.1</f>
        <v>216.3</v>
      </c>
      <c r="E132" s="96">
        <f>D132/D109*100</f>
        <v>0.06956732729343068</v>
      </c>
      <c r="F132" s="86">
        <f t="shared" si="16"/>
        <v>56.62303664921466</v>
      </c>
      <c r="G132" s="86">
        <f t="shared" si="13"/>
        <v>21.545970714214565</v>
      </c>
      <c r="H132" s="87">
        <f t="shared" si="14"/>
        <v>165.7</v>
      </c>
      <c r="I132" s="87">
        <f t="shared" si="15"/>
        <v>787.5999999999999</v>
      </c>
      <c r="M132" s="88"/>
    </row>
    <row r="133" spans="1:13" s="98" customFormat="1" ht="18">
      <c r="A133" s="89" t="s">
        <v>86</v>
      </c>
      <c r="B133" s="90">
        <v>181.7</v>
      </c>
      <c r="C133" s="91">
        <v>553.3</v>
      </c>
      <c r="D133" s="92">
        <f>7.7+48+7.7+7.7+7.7+7.7+7.7-0.1</f>
        <v>94.10000000000002</v>
      </c>
      <c r="E133" s="93">
        <f>D133/D132*100</f>
        <v>43.50439204808138</v>
      </c>
      <c r="F133" s="93">
        <f>D133/B133*100</f>
        <v>51.78866263070998</v>
      </c>
      <c r="G133" s="93">
        <f t="shared" si="13"/>
        <v>17.007048617386594</v>
      </c>
      <c r="H133" s="91">
        <f t="shared" si="14"/>
        <v>87.59999999999997</v>
      </c>
      <c r="I133" s="91">
        <f t="shared" si="15"/>
        <v>459.19999999999993</v>
      </c>
      <c r="M133" s="128"/>
    </row>
    <row r="134" spans="1:9" s="97" customFormat="1" ht="37.5">
      <c r="A134" s="152" t="s">
        <v>101</v>
      </c>
      <c r="B134" s="153">
        <v>75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75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f>1729.7-700</f>
        <v>1029.7</v>
      </c>
      <c r="C138" s="94">
        <v>2964.5</v>
      </c>
      <c r="D138" s="95">
        <f>203+174+113.5+76.2+55.5+17.2+64.2+103.9+40.9+12.5+10.2+13.3+28.3+0.1</f>
        <v>912.8000000000001</v>
      </c>
      <c r="E138" s="96">
        <f>D138/D109*100</f>
        <v>0.2935786239179081</v>
      </c>
      <c r="F138" s="86">
        <f t="shared" si="16"/>
        <v>88.64717878993882</v>
      </c>
      <c r="G138" s="86">
        <f t="shared" si="13"/>
        <v>30.79102715466352</v>
      </c>
      <c r="H138" s="87">
        <f t="shared" si="14"/>
        <v>116.89999999999998</v>
      </c>
      <c r="I138" s="87">
        <f t="shared" si="15"/>
        <v>2051.7</v>
      </c>
    </row>
    <row r="139" spans="1:9" s="97" customFormat="1" ht="39" customHeight="1">
      <c r="A139" s="152" t="s">
        <v>52</v>
      </c>
      <c r="B139" s="153">
        <v>190</v>
      </c>
      <c r="C139" s="94">
        <v>350</v>
      </c>
      <c r="D139" s="95">
        <f>30+1.3+13+17.4+1.4+1.8-0.1+8</f>
        <v>72.8</v>
      </c>
      <c r="E139" s="96">
        <f>D139/D109*100</f>
        <v>0.023414246079342362</v>
      </c>
      <c r="F139" s="86">
        <f t="shared" si="16"/>
        <v>38.315789473684205</v>
      </c>
      <c r="G139" s="86">
        <f t="shared" si="13"/>
        <v>20.8</v>
      </c>
      <c r="H139" s="87">
        <f t="shared" si="14"/>
        <v>117.2</v>
      </c>
      <c r="I139" s="87">
        <f t="shared" si="15"/>
        <v>277.2</v>
      </c>
    </row>
    <row r="140" spans="1:9" s="98" customFormat="1" ht="18">
      <c r="A140" s="89" t="s">
        <v>86</v>
      </c>
      <c r="B140" s="90">
        <v>65</v>
      </c>
      <c r="C140" s="91">
        <v>110</v>
      </c>
      <c r="D140" s="92">
        <f>1.3+0.4+1.4+1.8-0.1</f>
        <v>4.800000000000001</v>
      </c>
      <c r="E140" s="93"/>
      <c r="F140" s="86">
        <f>D140/B140*100</f>
        <v>7.384615384615385</v>
      </c>
      <c r="G140" s="93">
        <f>D140/C140*100</f>
        <v>4.363636363636364</v>
      </c>
      <c r="H140" s="91">
        <f>B140-D140</f>
        <v>60.2</v>
      </c>
      <c r="I140" s="91">
        <f>C140-D140</f>
        <v>105.2</v>
      </c>
    </row>
    <row r="141" spans="1:9" s="97" customFormat="1" ht="32.25" customHeight="1">
      <c r="A141" s="152" t="s">
        <v>82</v>
      </c>
      <c r="B141" s="153">
        <v>372.9</v>
      </c>
      <c r="C141" s="94">
        <v>642.9</v>
      </c>
      <c r="D141" s="95">
        <f>3.4+29.8+0.5+0.6+0.5+7+95+1+3.4+1.6+21.9+0.5+0.2+14.5+1.1+4.5+5.3+14.7+1.23462+4.7+11.1+4.8+0.3+0.3</f>
        <v>227.93462000000002</v>
      </c>
      <c r="E141" s="96">
        <f>D141/D109*100</f>
        <v>0.07330930333353561</v>
      </c>
      <c r="F141" s="86">
        <f>D141/B141*100</f>
        <v>61.12486457495309</v>
      </c>
      <c r="G141" s="86">
        <f>D141/C141*100</f>
        <v>35.454132835588744</v>
      </c>
      <c r="H141" s="87">
        <f t="shared" si="14"/>
        <v>144.96537999999995</v>
      </c>
      <c r="I141" s="87">
        <f t="shared" si="15"/>
        <v>414.96538</v>
      </c>
    </row>
    <row r="142" spans="1:9" s="98" customFormat="1" ht="18">
      <c r="A142" s="89" t="s">
        <v>23</v>
      </c>
      <c r="B142" s="90">
        <v>302.9</v>
      </c>
      <c r="C142" s="91">
        <v>524.9</v>
      </c>
      <c r="D142" s="92">
        <f>0.4+29.8+0.5+0.6+95+0.7+18.5+0.5+14.5+1.1+4.5+14.8+1.2+11.1+4.8+0.2</f>
        <v>198.2</v>
      </c>
      <c r="E142" s="93">
        <f>D142/D141*100</f>
        <v>86.95475921999035</v>
      </c>
      <c r="F142" s="93">
        <f t="shared" si="16"/>
        <v>65.43413667877186</v>
      </c>
      <c r="G142" s="93">
        <f>D142/C142*100</f>
        <v>37.75957325204801</v>
      </c>
      <c r="H142" s="91">
        <f t="shared" si="14"/>
        <v>104.69999999999999</v>
      </c>
      <c r="I142" s="91">
        <f t="shared" si="15"/>
        <v>326.7</v>
      </c>
    </row>
    <row r="143" spans="1:9" s="97" customFormat="1" ht="18.75">
      <c r="A143" s="152" t="s">
        <v>94</v>
      </c>
      <c r="B143" s="153">
        <v>1393.9</v>
      </c>
      <c r="C143" s="94">
        <v>2262.8</v>
      </c>
      <c r="D143" s="95">
        <f>33.6+100.1+61.4+1.9+88.9+76.4+140.9+13.9+60.1+109.3+18.6+51.1+12+15.7+91.6+92.9+151.5+21.4+117.4-12.2+110</f>
        <v>1356.5000000000002</v>
      </c>
      <c r="E143" s="96">
        <f>D143/D109*100</f>
        <v>0.4362833077833506</v>
      </c>
      <c r="F143" s="86">
        <f t="shared" si="16"/>
        <v>97.31688069445443</v>
      </c>
      <c r="G143" s="86">
        <f t="shared" si="13"/>
        <v>59.94785221849037</v>
      </c>
      <c r="H143" s="87">
        <f t="shared" si="14"/>
        <v>37.399999999999864</v>
      </c>
      <c r="I143" s="87">
        <f t="shared" si="15"/>
        <v>906.3</v>
      </c>
    </row>
    <row r="144" spans="1:9" s="98" customFormat="1" ht="18">
      <c r="A144" s="154" t="s">
        <v>41</v>
      </c>
      <c r="B144" s="90">
        <v>1086.2</v>
      </c>
      <c r="C144" s="91">
        <v>1867.4</v>
      </c>
      <c r="D144" s="92">
        <f>33.6+99.1+51.9+81.4+59+82.2+5.6+57.6+68.8+16.1-2.2+47.6+70.6+83.7+114.7+20.9+115.1+0.1+80.1</f>
        <v>1085.9</v>
      </c>
      <c r="E144" s="93">
        <f>D144/D143*100</f>
        <v>80.05160339107998</v>
      </c>
      <c r="F144" s="93">
        <f t="shared" si="16"/>
        <v>99.9723807770208</v>
      </c>
      <c r="G144" s="93">
        <f t="shared" si="13"/>
        <v>58.15036949769734</v>
      </c>
      <c r="H144" s="91">
        <f t="shared" si="14"/>
        <v>0.2999999999999545</v>
      </c>
      <c r="I144" s="91">
        <f t="shared" si="15"/>
        <v>781.5</v>
      </c>
    </row>
    <row r="145" spans="1:9" s="98" customFormat="1" ht="18">
      <c r="A145" s="89" t="s">
        <v>23</v>
      </c>
      <c r="B145" s="90">
        <v>29.1</v>
      </c>
      <c r="C145" s="91">
        <v>48</v>
      </c>
      <c r="D145" s="92">
        <f>9.3+7.4+6+0.1+2.5+0.1+0.1+1+0.5</f>
        <v>27.000000000000007</v>
      </c>
      <c r="E145" s="93">
        <f>D145/D143*100</f>
        <v>1.9904165130851459</v>
      </c>
      <c r="F145" s="93">
        <f t="shared" si="16"/>
        <v>92.78350515463919</v>
      </c>
      <c r="G145" s="93">
        <f>D145/C145*100</f>
        <v>56.250000000000014</v>
      </c>
      <c r="H145" s="91">
        <f t="shared" si="14"/>
        <v>2.0999999999999943</v>
      </c>
      <c r="I145" s="91">
        <f t="shared" si="15"/>
        <v>20.999999999999993</v>
      </c>
    </row>
    <row r="146" spans="1:9" s="97" customFormat="1" ht="33.75" customHeight="1">
      <c r="A146" s="149" t="s">
        <v>54</v>
      </c>
      <c r="B146" s="153">
        <v>961</v>
      </c>
      <c r="C146" s="94">
        <v>961</v>
      </c>
      <c r="D146" s="95">
        <f>563+398</f>
        <v>961</v>
      </c>
      <c r="E146" s="96">
        <f>D146/D109*100</f>
        <v>0.3090809132176925</v>
      </c>
      <c r="F146" s="86">
        <f t="shared" si="16"/>
        <v>100</v>
      </c>
      <c r="G146" s="86">
        <f t="shared" si="13"/>
        <v>100</v>
      </c>
      <c r="H146" s="87">
        <f t="shared" si="14"/>
        <v>0</v>
      </c>
      <c r="I146" s="87">
        <f t="shared" si="15"/>
        <v>0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f>109267+4158.2+817.2+2596.9</f>
        <v>116839.29999999999</v>
      </c>
      <c r="C148" s="94">
        <f>148561.8-115.4-1283.5</f>
        <v>147162.9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</f>
        <v>114171.1</v>
      </c>
      <c r="E148" s="96">
        <f>D148/D109*100</f>
        <v>36.720195474577</v>
      </c>
      <c r="F148" s="86">
        <f t="shared" si="16"/>
        <v>97.71635057724586</v>
      </c>
      <c r="G148" s="86">
        <f t="shared" si="13"/>
        <v>77.581442061824</v>
      </c>
      <c r="H148" s="87">
        <f t="shared" si="14"/>
        <v>2668.1999999999825</v>
      </c>
      <c r="I148" s="87">
        <f t="shared" si="15"/>
        <v>32991.79999999999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30</v>
      </c>
      <c r="C150" s="94">
        <v>50</v>
      </c>
      <c r="D150" s="95">
        <f>1+0.7+0.3+0.3+0.3+0.3</f>
        <v>2.8999999999999995</v>
      </c>
      <c r="E150" s="96">
        <f>D150/D111*100</f>
        <v>0.40707467714766976</v>
      </c>
      <c r="F150" s="86">
        <f>D150/B150*100</f>
        <v>9.666666666666664</v>
      </c>
      <c r="G150" s="86">
        <f>D150/C150*100</f>
        <v>5.799999999999999</v>
      </c>
      <c r="H150" s="87">
        <f>B150-D150</f>
        <v>27.1</v>
      </c>
      <c r="I150" s="87">
        <f>C150-D150</f>
        <v>47.1</v>
      </c>
    </row>
    <row r="151" spans="1:9" s="97" customFormat="1" ht="18.75">
      <c r="A151" s="152" t="s">
        <v>96</v>
      </c>
      <c r="B151" s="153">
        <v>55.3</v>
      </c>
      <c r="C151" s="94">
        <v>93.9</v>
      </c>
      <c r="D151" s="95">
        <f>29.5+25.8</f>
        <v>55.3</v>
      </c>
      <c r="E151" s="96">
        <f>D151/D109*100</f>
        <v>0.01778582154103891</v>
      </c>
      <c r="F151" s="86">
        <f t="shared" si="16"/>
        <v>100</v>
      </c>
      <c r="G151" s="86">
        <f t="shared" si="13"/>
        <v>58.89243876464323</v>
      </c>
      <c r="H151" s="87">
        <f t="shared" si="14"/>
        <v>0</v>
      </c>
      <c r="I151" s="87">
        <f t="shared" si="15"/>
        <v>38.60000000000001</v>
      </c>
    </row>
    <row r="152" spans="1:9" s="97" customFormat="1" ht="18" customHeight="1">
      <c r="A152" s="152" t="s">
        <v>75</v>
      </c>
      <c r="B152" s="153">
        <f>7865.8+504</f>
        <v>8369.8</v>
      </c>
      <c r="C152" s="94">
        <f>509.5+13731.5</f>
        <v>14241</v>
      </c>
      <c r="D152" s="95">
        <f>469.6+898.6+871.8+55+430.7+600.4+36+430.7-0.1+542+60.6+1510.5+423.8+77.7+719.5+23.4+379.6+98.9+504</f>
        <v>8132.7</v>
      </c>
      <c r="E152" s="96">
        <f>D152/D109*100</f>
        <v>2.6156736138663135</v>
      </c>
      <c r="F152" s="86">
        <f t="shared" si="16"/>
        <v>97.16719634877775</v>
      </c>
      <c r="G152" s="86">
        <f t="shared" si="13"/>
        <v>57.107646934906256</v>
      </c>
      <c r="H152" s="87">
        <f t="shared" si="14"/>
        <v>237.09999999999945</v>
      </c>
      <c r="I152" s="87">
        <f t="shared" si="15"/>
        <v>6108.3</v>
      </c>
    </row>
    <row r="153" spans="1:9" s="97" customFormat="1" ht="19.5" customHeight="1">
      <c r="A153" s="152" t="s">
        <v>48</v>
      </c>
      <c r="B153" s="153">
        <f>131884.3+164.1+400-3215.3+0.1-117.2-2082.9+700+1434.2</f>
        <v>129167.3</v>
      </c>
      <c r="C153" s="94">
        <f>365455.9+155.1+4856-2795.8+8042.5-6175</f>
        <v>369538.7</v>
      </c>
      <c r="D153" s="95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</f>
        <v>129164.88517</v>
      </c>
      <c r="E153" s="96">
        <f>D153/D109*100</f>
        <v>41.54256052445576</v>
      </c>
      <c r="F153" s="86">
        <f t="shared" si="16"/>
        <v>99.9981304633603</v>
      </c>
      <c r="G153" s="86">
        <f t="shared" si="13"/>
        <v>34.95300632112415</v>
      </c>
      <c r="H153" s="87">
        <f t="shared" si="14"/>
        <v>2.4148300000088057</v>
      </c>
      <c r="I153" s="87">
        <f>C153-D153</f>
        <v>240373.81483000002</v>
      </c>
    </row>
    <row r="154" spans="1:9" s="97" customFormat="1" ht="18.75">
      <c r="A154" s="152" t="s">
        <v>97</v>
      </c>
      <c r="B154" s="153">
        <v>39622.8</v>
      </c>
      <c r="C154" s="94">
        <v>67925</v>
      </c>
      <c r="D154" s="95">
        <f>1886.8+1886.8+1886.8+1886.8+1886.8+1886.8+1886.8+1886.8+1886.8+1886.8+1886.8+1886.8+1886.8+1886.8+1886.8+1886.8+1886.8+1886.8+1886.8+1886.8</f>
        <v>37736</v>
      </c>
      <c r="E154" s="96">
        <f>D154/D109*100</f>
        <v>12.136813050138235</v>
      </c>
      <c r="F154" s="86">
        <f t="shared" si="16"/>
        <v>95.23809523809523</v>
      </c>
      <c r="G154" s="86">
        <f t="shared" si="13"/>
        <v>55.55539197644461</v>
      </c>
      <c r="H154" s="87">
        <f t="shared" si="14"/>
        <v>1886.800000000003</v>
      </c>
      <c r="I154" s="87">
        <f t="shared" si="15"/>
        <v>30189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346793.31979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1446818.0999999999</v>
      </c>
      <c r="C156" s="36">
        <f>C6+C18+C33+C43+C52+C60+C70+C74+C79+C81+C89+C92+C97+C104+C109+C102+C86+C100+C46</f>
        <v>2507982.6</v>
      </c>
      <c r="D156" s="36">
        <f>D6+D18+D33+D43+D52+D60+D70+D74+D79+D81+D89+D92+D97+D104+D109+D102+D86+D100+D46</f>
        <v>1362707.0567899998</v>
      </c>
      <c r="E156" s="25">
        <v>100</v>
      </c>
      <c r="F156" s="3">
        <f>D156/B156*100</f>
        <v>94.18648113332284</v>
      </c>
      <c r="G156" s="3">
        <f aca="true" t="shared" si="17" ref="G156:G162">D156/C156*100</f>
        <v>54.33478911655926</v>
      </c>
      <c r="H156" s="36">
        <f>B156-D156</f>
        <v>84111.04321000003</v>
      </c>
      <c r="I156" s="36">
        <f aca="true" t="shared" si="18" ref="I156:I162">C156-D156</f>
        <v>1145275.5432100003</v>
      </c>
      <c r="K156" s="136">
        <f>D156-114199.9-202905.8-214631.3-204053.8-222765.5+11.7-231911.7</f>
        <v>172250.75678999978</v>
      </c>
    </row>
    <row r="157" spans="1:9" ht="18.75">
      <c r="A157" s="15" t="s">
        <v>5</v>
      </c>
      <c r="B157" s="47">
        <f>B8+B20+B34+B53+B61+B93+B117+B122+B47+B144+B135+B105</f>
        <v>626930.3999999999</v>
      </c>
      <c r="C157" s="47">
        <f>C8+C20+C34+C53+C61+C93+C117+C122+C47+C144+C135+C105</f>
        <v>995482.1</v>
      </c>
      <c r="D157" s="47">
        <f>D8+D20+D34+D53+D61+D93+D117+D122+D47+D144+D135+D105</f>
        <v>602252.3</v>
      </c>
      <c r="E157" s="6">
        <f>D157/D156*100</f>
        <v>44.19528738764066</v>
      </c>
      <c r="F157" s="6">
        <f aca="true" t="shared" si="19" ref="F157:F162">D157/B157*100</f>
        <v>96.06366193121279</v>
      </c>
      <c r="G157" s="6">
        <f t="shared" si="17"/>
        <v>60.49855642808646</v>
      </c>
      <c r="H157" s="48">
        <f aca="true" t="shared" si="20" ref="H157:H162">B157-D157</f>
        <v>24678.09999999986</v>
      </c>
      <c r="I157" s="58">
        <f t="shared" si="18"/>
        <v>393229.79999999993</v>
      </c>
    </row>
    <row r="158" spans="1:9" ht="18.75">
      <c r="A158" s="15" t="s">
        <v>0</v>
      </c>
      <c r="B158" s="87">
        <f>B11+B23+B36+B56+B63+B94+B50+B145+B111+B114+B98+B142+B131</f>
        <v>71477.59999999999</v>
      </c>
      <c r="C158" s="87">
        <f>C11+C23+C36+C56+C63+C94+C50+C145+C111+C114+C98+C142+C131</f>
        <v>125217.3</v>
      </c>
      <c r="D158" s="87">
        <f>D11+D23+D36+D56+D63+D94+D50+D145+D111+D114+D98+D142+D131</f>
        <v>62765.89999999997</v>
      </c>
      <c r="E158" s="6">
        <f>D158/D156*100</f>
        <v>4.605971598022811</v>
      </c>
      <c r="F158" s="6">
        <f t="shared" si="19"/>
        <v>87.81198585291054</v>
      </c>
      <c r="G158" s="6">
        <f t="shared" si="17"/>
        <v>50.125581688792174</v>
      </c>
      <c r="H158" s="48">
        <f>B158-D158</f>
        <v>8711.700000000019</v>
      </c>
      <c r="I158" s="58">
        <f t="shared" si="18"/>
        <v>62451.40000000003</v>
      </c>
    </row>
    <row r="159" spans="1:9" ht="18.75">
      <c r="A159" s="15" t="s">
        <v>1</v>
      </c>
      <c r="B159" s="142">
        <f>B22+B10+B55+B49+B62+B35+B126</f>
        <v>29969.8</v>
      </c>
      <c r="C159" s="142">
        <f>C22+C10+C55+C49+C62+C35+C126</f>
        <v>48102.700000000004</v>
      </c>
      <c r="D159" s="142">
        <f>D22+D10+D55+D49+D62+D35+D126</f>
        <v>27072.5</v>
      </c>
      <c r="E159" s="6">
        <f>D159/D156*100</f>
        <v>1.9866705661429631</v>
      </c>
      <c r="F159" s="6">
        <f t="shared" si="19"/>
        <v>90.3326014854954</v>
      </c>
      <c r="G159" s="6">
        <f t="shared" si="17"/>
        <v>56.28062458032501</v>
      </c>
      <c r="H159" s="48">
        <f t="shared" si="20"/>
        <v>2897.2999999999993</v>
      </c>
      <c r="I159" s="58">
        <f t="shared" si="18"/>
        <v>21030.200000000004</v>
      </c>
    </row>
    <row r="160" spans="1:9" ht="21" customHeight="1">
      <c r="A160" s="15" t="s">
        <v>12</v>
      </c>
      <c r="B160" s="142">
        <f>B12+B24+B106+B64+B38+B95+B133+B57+B140+B120+B44+B73</f>
        <v>49138.5</v>
      </c>
      <c r="C160" s="142">
        <f>C12+C24+C106+C64+C38+C95+C133+C57+C140+C120+C44+C73</f>
        <v>87440.30000000002</v>
      </c>
      <c r="D160" s="142">
        <f>D12+D24+D106+D64+D38+D95+D133+D57+D140+D120+D44+D73</f>
        <v>44377.10000000001</v>
      </c>
      <c r="E160" s="6">
        <f>D160/D156*100</f>
        <v>3.2565399715867733</v>
      </c>
      <c r="F160" s="6">
        <f>D160/B160*100</f>
        <v>90.31024553049038</v>
      </c>
      <c r="G160" s="6">
        <f t="shared" si="17"/>
        <v>50.751312609860676</v>
      </c>
      <c r="H160" s="48">
        <f>B160-D160</f>
        <v>4761.399999999987</v>
      </c>
      <c r="I160" s="58">
        <f t="shared" si="18"/>
        <v>43063.200000000004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0.002825258723668079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8">
        <f t="shared" si="18"/>
        <v>84.4</v>
      </c>
    </row>
    <row r="162" spans="1:9" ht="19.5" thickBot="1">
      <c r="A162" s="80" t="s">
        <v>25</v>
      </c>
      <c r="B162" s="60">
        <f>B156-B157-B158-B159-B160-B161</f>
        <v>669249.2</v>
      </c>
      <c r="C162" s="60">
        <f>C156-C157-C158-C159-C160-C161</f>
        <v>1251617.3</v>
      </c>
      <c r="D162" s="60">
        <f>D156-D157-D158-D159-D160-D161</f>
        <v>626200.7567899998</v>
      </c>
      <c r="E162" s="28">
        <f>D162/D156*100</f>
        <v>45.95270521788312</v>
      </c>
      <c r="F162" s="28">
        <f t="shared" si="19"/>
        <v>93.5676511514694</v>
      </c>
      <c r="G162" s="28">
        <f t="shared" si="17"/>
        <v>50.031328009767826</v>
      </c>
      <c r="H162" s="81">
        <f t="shared" si="20"/>
        <v>43048.44321000017</v>
      </c>
      <c r="I162" s="81">
        <f t="shared" si="18"/>
        <v>625416.5432100003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1362707.0567899998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1362707.0567899998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2019-07-29T12:56:23Z</cp:lastPrinted>
  <dcterms:created xsi:type="dcterms:W3CDTF">2000-06-20T04:48:00Z</dcterms:created>
  <dcterms:modified xsi:type="dcterms:W3CDTF">2019-07-31T08:49:05Z</dcterms:modified>
  <cp:category/>
  <cp:version/>
  <cp:contentType/>
  <cp:contentStatus/>
</cp:coreProperties>
</file>